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thieu Glachant\Desktop\"/>
    </mc:Choice>
  </mc:AlternateContent>
  <bookViews>
    <workbookView xWindow="0" yWindow="0" windowWidth="19200" windowHeight="6240" tabRatio="852"/>
  </bookViews>
  <sheets>
    <sheet name="Introduction" sheetId="25" r:id="rId1"/>
    <sheet name="A Quantités d'emballages" sheetId="21" r:id="rId2"/>
    <sheet name="B Eco-contributions" sheetId="7" r:id="rId3"/>
    <sheet name="C Coût économique de gestion" sheetId="14" r:id="rId4"/>
    <sheet name="D Coût environnemental" sheetId="20" r:id="rId5"/>
    <sheet name="E. Niveau Internalisation" sheetId="2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0" i="14" l="1"/>
  <c r="C25" i="23" l="1"/>
  <c r="C26" i="23"/>
  <c r="C27" i="23"/>
  <c r="C28" i="23"/>
  <c r="C24" i="23"/>
  <c r="C15" i="23"/>
  <c r="C16" i="23"/>
  <c r="C17" i="23"/>
  <c r="C18" i="23"/>
  <c r="C14" i="23"/>
  <c r="C47" i="20"/>
  <c r="D57" i="20"/>
  <c r="C5" i="23"/>
  <c r="C6" i="23"/>
  <c r="C7" i="23"/>
  <c r="C8" i="23"/>
  <c r="C4" i="23"/>
  <c r="F34" i="20"/>
  <c r="F35" i="20"/>
  <c r="F37" i="20"/>
  <c r="F38" i="20"/>
  <c r="F39" i="20"/>
  <c r="F41" i="20"/>
  <c r="F33" i="20"/>
  <c r="F31" i="20"/>
  <c r="F29" i="20"/>
  <c r="F28" i="20"/>
  <c r="E33" i="20"/>
  <c r="E34" i="20"/>
  <c r="E35" i="20"/>
  <c r="E37" i="20"/>
  <c r="E38" i="20"/>
  <c r="E39" i="20"/>
  <c r="E40" i="20"/>
  <c r="E41" i="20"/>
  <c r="E31" i="20"/>
  <c r="E29" i="20"/>
  <c r="E28" i="20"/>
  <c r="D33" i="20"/>
  <c r="D34" i="20"/>
  <c r="D35" i="20"/>
  <c r="D37" i="20"/>
  <c r="D38" i="20"/>
  <c r="D39" i="20"/>
  <c r="D40" i="20"/>
  <c r="D41" i="20"/>
  <c r="D31" i="20"/>
  <c r="D29" i="20"/>
  <c r="D28" i="20"/>
  <c r="C52" i="20" s="1"/>
  <c r="G45" i="14"/>
  <c r="G46" i="14"/>
  <c r="G47" i="14"/>
  <c r="G44" i="14"/>
  <c r="F45" i="14"/>
  <c r="F46" i="14"/>
  <c r="F47" i="14"/>
  <c r="F48" i="14"/>
  <c r="F44" i="14"/>
  <c r="E45" i="14"/>
  <c r="E46" i="14"/>
  <c r="E47" i="14"/>
  <c r="E48" i="14"/>
  <c r="E44" i="14"/>
  <c r="D48" i="14"/>
  <c r="D45" i="14"/>
  <c r="D46" i="14"/>
  <c r="D47" i="14"/>
  <c r="C54" i="20" l="1"/>
  <c r="C53" i="20"/>
  <c r="C55" i="20"/>
  <c r="C56" i="20"/>
  <c r="E56" i="20" s="1"/>
  <c r="H48" i="14"/>
  <c r="I48" i="14" s="1"/>
  <c r="J48" i="14" s="1"/>
  <c r="E53" i="20" l="1"/>
  <c r="E52" i="20"/>
  <c r="D44" i="14" l="1"/>
  <c r="E39" i="14"/>
  <c r="D39" i="14"/>
  <c r="R17" i="14"/>
  <c r="R8" i="14"/>
  <c r="R6" i="14"/>
  <c r="D59" i="14" l="1"/>
  <c r="D28" i="23" s="1"/>
  <c r="E28" i="23" s="1"/>
  <c r="R20" i="14"/>
  <c r="H44" i="14"/>
  <c r="I44" i="14" s="1"/>
  <c r="J44" i="14" s="1"/>
  <c r="R19" i="14"/>
  <c r="K8" i="14" l="1"/>
  <c r="K16" i="14" l="1"/>
  <c r="K21" i="14" s="1"/>
  <c r="K15" i="14"/>
  <c r="K25" i="14" s="1"/>
  <c r="I5" i="7"/>
  <c r="I7" i="7"/>
  <c r="I8" i="7"/>
  <c r="I9" i="7"/>
  <c r="I11" i="7"/>
  <c r="I12" i="7"/>
  <c r="I13" i="7"/>
  <c r="I15" i="7"/>
  <c r="I16" i="7"/>
  <c r="C9" i="7" s="1"/>
  <c r="I17" i="7"/>
  <c r="I19" i="7"/>
  <c r="I4" i="7"/>
  <c r="K20" i="21"/>
  <c r="K19" i="21"/>
  <c r="K16" i="21"/>
  <c r="K15" i="21"/>
  <c r="K13" i="21"/>
  <c r="K8" i="21"/>
  <c r="E5" i="21"/>
  <c r="C23" i="7"/>
  <c r="C6" i="7"/>
  <c r="H46" i="14" l="1"/>
  <c r="I46" i="14" s="1"/>
  <c r="J46" i="14" s="1"/>
  <c r="H47" i="14"/>
  <c r="I47" i="14" s="1"/>
  <c r="J47" i="14" s="1"/>
  <c r="H45" i="14"/>
  <c r="I45" i="14" s="1"/>
  <c r="J45" i="14" s="1"/>
  <c r="D30" i="7"/>
  <c r="D31" i="7"/>
  <c r="D32" i="7"/>
  <c r="D33" i="7"/>
  <c r="E33" i="7" s="1"/>
  <c r="D29" i="7"/>
  <c r="C33" i="7"/>
  <c r="C30" i="7"/>
  <c r="C29" i="7"/>
  <c r="J49" i="14" l="1"/>
  <c r="I49" i="14"/>
  <c r="E29" i="7"/>
  <c r="E30" i="7"/>
  <c r="C19" i="23" l="1"/>
  <c r="E55" i="20" l="1"/>
  <c r="D23" i="7"/>
  <c r="E9" i="14"/>
  <c r="R16" i="14" l="1"/>
  <c r="R11" i="14"/>
  <c r="R14" i="14"/>
  <c r="R13" i="14"/>
  <c r="D55" i="14" s="1"/>
  <c r="K26" i="14"/>
  <c r="E8" i="14" s="1"/>
  <c r="D24" i="23" l="1"/>
  <c r="E24" i="23" s="1"/>
  <c r="D56" i="14"/>
  <c r="D25" i="23" s="1"/>
  <c r="E25" i="23" s="1"/>
  <c r="D58" i="14"/>
  <c r="D27" i="23" s="1"/>
  <c r="E27" i="23" s="1"/>
  <c r="R15" i="14"/>
  <c r="R10" i="14"/>
  <c r="D57" i="14" l="1"/>
  <c r="D26" i="23" s="1"/>
  <c r="E26" i="23" s="1"/>
  <c r="D61" i="14" l="1"/>
  <c r="E29" i="23" s="1"/>
  <c r="D60" i="14"/>
  <c r="F11" i="14" l="1"/>
  <c r="F8" i="14" l="1"/>
  <c r="S10" i="14" s="1"/>
  <c r="F9" i="14"/>
  <c r="S11" i="14" s="1"/>
  <c r="F7" i="14"/>
  <c r="F13" i="14"/>
  <c r="F18" i="14"/>
  <c r="S13" i="14" s="1"/>
  <c r="F19" i="14"/>
  <c r="S14" i="14" s="1"/>
  <c r="F20" i="14"/>
  <c r="S15" i="14" s="1"/>
  <c r="F21" i="14"/>
  <c r="S16" i="14" s="1"/>
  <c r="F22" i="14"/>
  <c r="S17" i="14" s="1"/>
  <c r="F24" i="14"/>
  <c r="F25" i="14"/>
  <c r="E6" i="21" l="1"/>
  <c r="E32" i="21"/>
  <c r="E17" i="21" l="1"/>
  <c r="E19" i="21"/>
  <c r="E18" i="21"/>
  <c r="K21" i="21"/>
  <c r="E33" i="21"/>
  <c r="E34" i="21"/>
  <c r="E35" i="21"/>
  <c r="E31" i="21"/>
  <c r="J31" i="21" s="1"/>
  <c r="K25" i="21"/>
  <c r="K9" i="21"/>
  <c r="K10" i="21"/>
  <c r="K6" i="21"/>
  <c r="E23" i="21"/>
  <c r="E24" i="21"/>
  <c r="E22" i="21"/>
  <c r="E11" i="21"/>
  <c r="E12" i="21"/>
  <c r="E10" i="21"/>
  <c r="J40" i="21" l="1"/>
  <c r="J39" i="21"/>
  <c r="J38" i="21"/>
  <c r="J43" i="21"/>
  <c r="J42" i="21"/>
  <c r="J34" i="21"/>
  <c r="J35" i="21"/>
  <c r="J46" i="21"/>
  <c r="J32" i="21"/>
  <c r="J44" i="21"/>
  <c r="J36" i="21"/>
  <c r="C32" i="7" l="1"/>
  <c r="E32" i="7" s="1"/>
  <c r="C31" i="7" l="1"/>
  <c r="E31" i="7" s="1"/>
  <c r="E54" i="20" l="1"/>
  <c r="E57" i="20" s="1"/>
  <c r="F6" i="14" l="1"/>
  <c r="S6" i="14" l="1"/>
  <c r="S8" i="14"/>
  <c r="H58" i="14" l="1"/>
  <c r="H57" i="14"/>
  <c r="H59" i="14"/>
  <c r="S20" i="14"/>
  <c r="H56" i="14" s="1"/>
  <c r="S19" i="14"/>
  <c r="H55" i="14" s="1"/>
  <c r="D8" i="23" l="1"/>
  <c r="E8" i="23" s="1"/>
  <c r="J59" i="14"/>
  <c r="D5" i="23"/>
  <c r="E5" i="23" s="1"/>
  <c r="J56" i="14"/>
  <c r="D15" i="23" s="1"/>
  <c r="E15" i="23" s="1"/>
  <c r="D6" i="23"/>
  <c r="E6" i="23" s="1"/>
  <c r="J57" i="14"/>
  <c r="D16" i="23" s="1"/>
  <c r="E16" i="23" s="1"/>
  <c r="D4" i="23"/>
  <c r="E4" i="23" s="1"/>
  <c r="J55" i="14"/>
  <c r="D14" i="23" s="1"/>
  <c r="E14" i="23" s="1"/>
  <c r="H60" i="14"/>
  <c r="D7" i="23"/>
  <c r="E7" i="23" s="1"/>
  <c r="J58" i="14"/>
  <c r="D17" i="23" s="1"/>
  <c r="E17" i="23" s="1"/>
  <c r="J60" i="14" l="1"/>
  <c r="D18" i="23"/>
  <c r="E18" i="23" s="1"/>
  <c r="D19" i="23" l="1"/>
  <c r="E9" i="23" l="1"/>
  <c r="E19" i="23"/>
</calcChain>
</file>

<file path=xl/sharedStrings.xml><?xml version="1.0" encoding="utf-8"?>
<sst xmlns="http://schemas.openxmlformats.org/spreadsheetml/2006/main" count="422" uniqueCount="211">
  <si>
    <t>Coût collecte</t>
  </si>
  <si>
    <t>Collecte indifférenciée</t>
  </si>
  <si>
    <t>collecte selective du verre</t>
  </si>
  <si>
    <t>Coût stockage en décharge</t>
  </si>
  <si>
    <t>Acier</t>
  </si>
  <si>
    <t>Aluminium</t>
  </si>
  <si>
    <t>Papier carton</t>
  </si>
  <si>
    <t>Plastique</t>
  </si>
  <si>
    <t>Verre</t>
  </si>
  <si>
    <t>Recette valorisation incinération</t>
  </si>
  <si>
    <t>Acier mâchefers</t>
  </si>
  <si>
    <t>Aluminium mâchefers</t>
  </si>
  <si>
    <t>Recette Valorisation collecte selective</t>
  </si>
  <si>
    <t>Elimination</t>
  </si>
  <si>
    <t>Collecte indifferenciée + enfouissement</t>
  </si>
  <si>
    <t>Valorisation energétique</t>
  </si>
  <si>
    <t>Collecte indifférenciée + incinération avec récuperation énergie</t>
  </si>
  <si>
    <t>Collecte selective et recyclage</t>
  </si>
  <si>
    <t>Valorisation matières de l'incinération</t>
  </si>
  <si>
    <t>Objet</t>
  </si>
  <si>
    <t>SOURCE</t>
  </si>
  <si>
    <t>Emballages</t>
  </si>
  <si>
    <t>ACIER</t>
  </si>
  <si>
    <t>ALUMINIUM</t>
  </si>
  <si>
    <t>VERRE</t>
  </si>
  <si>
    <t>Source</t>
  </si>
  <si>
    <t>C02</t>
  </si>
  <si>
    <t>S02</t>
  </si>
  <si>
    <t>PLASTIQUE</t>
  </si>
  <si>
    <t>Coût moyen de gestion (€/t)</t>
  </si>
  <si>
    <t>Quantité recyclée (non mâchefers)</t>
  </si>
  <si>
    <t>Quantité recyclée (mâchefers)</t>
  </si>
  <si>
    <t>Taux recyclage (non mâchefers)</t>
  </si>
  <si>
    <t>Taux recyclage (mâchefers)</t>
  </si>
  <si>
    <t>Taux décharge</t>
  </si>
  <si>
    <t xml:space="preserve">Papier-Carton </t>
  </si>
  <si>
    <t>Matière</t>
  </si>
  <si>
    <t>Papier-Carton</t>
  </si>
  <si>
    <t>Briques</t>
  </si>
  <si>
    <t>Plastiques</t>
  </si>
  <si>
    <t>Autres matériaux</t>
  </si>
  <si>
    <t>Cout moyen</t>
  </si>
  <si>
    <t>SOURCE:</t>
  </si>
  <si>
    <t>Taux valorisation energetique</t>
  </si>
  <si>
    <t>TGAP moyenne (€/t)</t>
  </si>
  <si>
    <t>Stockage en décharge</t>
  </si>
  <si>
    <t>Fraction</t>
  </si>
  <si>
    <t>TOTAL</t>
  </si>
  <si>
    <t>Tonnage contribuant (kt)</t>
  </si>
  <si>
    <t>MATIERE</t>
  </si>
  <si>
    <t>OBJET</t>
  </si>
  <si>
    <t>Boite</t>
  </si>
  <si>
    <t>Canettes</t>
  </si>
  <si>
    <t>Emballages rigides</t>
  </si>
  <si>
    <t>Boîtes/Etuis</t>
  </si>
  <si>
    <t>PAPIER-CARTONS</t>
  </si>
  <si>
    <t>Bouteilles-Flacons</t>
  </si>
  <si>
    <t>Pots-barquettes</t>
  </si>
  <si>
    <t>Emballages fexibles (films, sacs)</t>
  </si>
  <si>
    <t>Bouteilles-bocaux</t>
  </si>
  <si>
    <t>Contribution à l'effet de serre</t>
  </si>
  <si>
    <t>Acidification de l'air</t>
  </si>
  <si>
    <t>g Eq. CO2 /kg</t>
  </si>
  <si>
    <t>mmol Eq. H+/kg</t>
  </si>
  <si>
    <t>Bouteilles PET</t>
  </si>
  <si>
    <t>H+</t>
  </si>
  <si>
    <t>Handbook Environmental Prices 2017</t>
  </si>
  <si>
    <t>P eutrophication</t>
  </si>
  <si>
    <t>ALU</t>
  </si>
  <si>
    <t>Emballages souples</t>
  </si>
  <si>
    <t>Source:</t>
  </si>
  <si>
    <t>Autres plastiques</t>
  </si>
  <si>
    <t>https://www.ademe.fr/sites/default/files/assets/documents/referentiel-couts-spgd-2014-032017-rapport.pdf</t>
  </si>
  <si>
    <t>32g SO2 / mol H+</t>
  </si>
  <si>
    <t xml:space="preserve">Eutrophisation des eaux </t>
  </si>
  <si>
    <t>H+: 1g.mol-1</t>
  </si>
  <si>
    <t>Contribution totale écoemballage (M€)</t>
  </si>
  <si>
    <t>P.92</t>
  </si>
  <si>
    <t>Coût moyen incinération</t>
  </si>
  <si>
    <t>Collecte selective des papiers/cartons</t>
  </si>
  <si>
    <t>Collecte selective des plastiques/métaux</t>
  </si>
  <si>
    <t xml:space="preserve">taux de refus </t>
  </si>
  <si>
    <t>cout par tonne triée</t>
  </si>
  <si>
    <t xml:space="preserve">part sur l'ensemble de la collecte sélective </t>
  </si>
  <si>
    <t xml:space="preserve">cout par tonne triée plastique métaux </t>
  </si>
  <si>
    <t xml:space="preserve">cout par tonne triée papier carton </t>
  </si>
  <si>
    <t xml:space="preserve">part du carton collecté en decheterie </t>
  </si>
  <si>
    <t>cout decheterie</t>
  </si>
  <si>
    <t xml:space="preserve">cout par tonne triée papier carton avec decheterie </t>
  </si>
  <si>
    <t>g Eq P. /kg</t>
  </si>
  <si>
    <t>Collecte selective des plastiques métaux</t>
  </si>
  <si>
    <t>Coût traitement recyclage</t>
  </si>
  <si>
    <t>Papiers</t>
  </si>
  <si>
    <t>Taux refus moyen</t>
  </si>
  <si>
    <t>Taux collecte selective + décharge (refus)</t>
  </si>
  <si>
    <t>Collecte selective + refus (enfouissement)</t>
  </si>
  <si>
    <t>Plastique métaux</t>
  </si>
  <si>
    <t>Quantité DECHET plastique produite</t>
  </si>
  <si>
    <t>Coût économique total pollution</t>
  </si>
  <si>
    <t>Referentiel national coûts prevention déchets</t>
  </si>
  <si>
    <t>Etude comparative taxation elimination déchets</t>
  </si>
  <si>
    <t>Tableau de bord des déchets d'emballage ménager 2014</t>
  </si>
  <si>
    <t>Quantité totale</t>
  </si>
  <si>
    <t>Taux technique recyclage emballages</t>
  </si>
  <si>
    <t>Métal</t>
  </si>
  <si>
    <t>Quantité de gangue dans machefers</t>
  </si>
  <si>
    <t>Barême EcoEmballages 2014</t>
  </si>
  <si>
    <t>Gisement emballages ménagers</t>
  </si>
  <si>
    <t>BEE CITEO</t>
  </si>
  <si>
    <t>Taux de couverture moyen</t>
  </si>
  <si>
    <t>Coût externe non internalisé</t>
  </si>
  <si>
    <t>Incinération avec valorisation énergétique</t>
  </si>
  <si>
    <t>Aérosols</t>
  </si>
  <si>
    <t>Autres</t>
  </si>
  <si>
    <t>-</t>
  </si>
  <si>
    <t>Emballages Souples</t>
  </si>
  <si>
    <t>Calage</t>
  </si>
  <si>
    <t>Répartition initiale</t>
  </si>
  <si>
    <t>Répartition pondérée</t>
  </si>
  <si>
    <t>Gobelets</t>
  </si>
  <si>
    <t>Masse à domicile</t>
  </si>
  <si>
    <t>Masse hors domicile</t>
  </si>
  <si>
    <t>A.1. Déchets d'emballages à domicile</t>
  </si>
  <si>
    <t>A.2. Déchets d'emballages hors domicile</t>
  </si>
  <si>
    <t>A.4. Synthese du gisement d'emballages</t>
  </si>
  <si>
    <t>Répartition finale</t>
  </si>
  <si>
    <t>B.1. Contribution au poids Ecoemballages (ct €/kg)</t>
  </si>
  <si>
    <t>Contribution au poids</t>
  </si>
  <si>
    <t>Opération</t>
  </si>
  <si>
    <t>Montant avec TGAP</t>
  </si>
  <si>
    <t>Montant hors TGAP</t>
  </si>
  <si>
    <r>
      <t>cout par tonne collectée</t>
    </r>
    <r>
      <rPr>
        <vertAlign val="superscript"/>
        <sz val="12"/>
        <rFont val="Calibri"/>
        <family val="2"/>
        <scheme val="minor"/>
      </rPr>
      <t>1</t>
    </r>
  </si>
  <si>
    <r>
      <t xml:space="preserve">Note: </t>
    </r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>Ce coût est égal au coût complet moins le coût du traitement</t>
    </r>
  </si>
  <si>
    <t>p.111</t>
  </si>
  <si>
    <t>Referentiel des coûts SPGD 2014</t>
  </si>
  <si>
    <t>Montant Hors TGAP</t>
  </si>
  <si>
    <t>Quantité en décharge (kt)</t>
  </si>
  <si>
    <t>Quantité en OMR (kt)</t>
  </si>
  <si>
    <t>C.2 Coûts collecte selective papier/carton &amp; métaux/plastiques</t>
  </si>
  <si>
    <t>C.4 Répartition des déchets d'emaballages par traitement (kt)</t>
  </si>
  <si>
    <t>C.5. Répartition du traitement des déchets d'emballages (en %)</t>
  </si>
  <si>
    <t>Prix</t>
  </si>
  <si>
    <r>
      <rPr>
        <u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Les objets de référence utilisés dans nos calculs sont</t>
    </r>
    <r>
      <rPr>
        <vertAlign val="superscript"/>
        <sz val="12"/>
        <color theme="1"/>
        <rFont val="Calibri"/>
        <family val="2"/>
        <scheme val="minor"/>
      </rPr>
      <t xml:space="preserve"> 1</t>
    </r>
    <r>
      <rPr>
        <sz val="12"/>
        <color theme="1"/>
        <rFont val="Calibri"/>
        <family val="2"/>
        <scheme val="minor"/>
      </rPr>
      <t xml:space="preserve">Conserve d'environ 100g, </t>
    </r>
    <r>
      <rPr>
        <vertAlign val="superscript"/>
        <sz val="12"/>
        <color theme="1"/>
        <rFont val="Calibri"/>
        <family val="2"/>
        <scheme val="minor"/>
      </rPr>
      <t>23</t>
    </r>
    <r>
      <rPr>
        <sz val="12"/>
        <color theme="1"/>
        <rFont val="Calibri"/>
        <family val="2"/>
        <scheme val="minor"/>
      </rPr>
      <t xml:space="preserve">Pack de 6 canettes, </t>
    </r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Paquet de gâteaux, </t>
    </r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Pack de 6 briques de lait, </t>
    </r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Sac en papier, </t>
    </r>
    <r>
      <rPr>
        <vertAlign val="superscript"/>
        <sz val="12"/>
        <color theme="1"/>
        <rFont val="Calibri"/>
        <family val="2"/>
        <scheme val="minor"/>
      </rPr>
      <t>7</t>
    </r>
    <r>
      <rPr>
        <sz val="12"/>
        <color theme="1"/>
        <rFont val="Calibri"/>
        <family val="2"/>
        <scheme val="minor"/>
      </rPr>
      <t xml:space="preserve">Pack de 6 bouteilles d'eau de 1,5L en PET, </t>
    </r>
    <r>
      <rPr>
        <vertAlign val="superscript"/>
        <sz val="12"/>
        <color theme="1"/>
        <rFont val="Calibri"/>
        <family val="2"/>
        <scheme val="minor"/>
      </rPr>
      <t>8</t>
    </r>
    <r>
      <rPr>
        <sz val="12"/>
        <color theme="1"/>
        <rFont val="Calibri"/>
        <family val="2"/>
        <scheme val="minor"/>
      </rPr>
      <t xml:space="preserve">Pack de 16 pots de yaourt, </t>
    </r>
    <r>
      <rPr>
        <vertAlign val="superscript"/>
        <sz val="12"/>
        <color theme="1"/>
        <rFont val="Calibri"/>
        <family val="2"/>
        <scheme val="minor"/>
      </rPr>
      <t>9</t>
    </r>
    <r>
      <rPr>
        <sz val="12"/>
        <color theme="1"/>
        <rFont val="Calibri"/>
        <family val="2"/>
        <scheme val="minor"/>
      </rPr>
      <t xml:space="preserve">Sachet d'emballage individuel, </t>
    </r>
    <r>
      <rPr>
        <vertAlign val="superscript"/>
        <sz val="12"/>
        <color theme="1"/>
        <rFont val="Calibri"/>
        <family val="2"/>
        <scheme val="minor"/>
      </rPr>
      <t>10</t>
    </r>
    <r>
      <rPr>
        <sz val="12"/>
        <color theme="1"/>
        <rFont val="Calibri"/>
        <family val="2"/>
        <scheme val="minor"/>
      </rPr>
      <t>Bouteille en verre</t>
    </r>
  </si>
  <si>
    <r>
      <t>Boite</t>
    </r>
    <r>
      <rPr>
        <vertAlign val="superscript"/>
        <sz val="12"/>
        <color theme="1"/>
        <rFont val="Calibri"/>
        <family val="2"/>
        <scheme val="minor"/>
      </rPr>
      <t>1</t>
    </r>
  </si>
  <si>
    <r>
      <t>Canettes</t>
    </r>
    <r>
      <rPr>
        <vertAlign val="superscript"/>
        <sz val="12"/>
        <color theme="1"/>
        <rFont val="Calibri"/>
        <family val="2"/>
        <scheme val="minor"/>
      </rPr>
      <t>3</t>
    </r>
  </si>
  <si>
    <r>
      <t>Canettes</t>
    </r>
    <r>
      <rPr>
        <vertAlign val="superscript"/>
        <sz val="12"/>
        <color theme="1"/>
        <rFont val="Calibri"/>
        <family val="2"/>
        <scheme val="minor"/>
      </rPr>
      <t>2</t>
    </r>
  </si>
  <si>
    <r>
      <t>Boîtes/Etuis</t>
    </r>
    <r>
      <rPr>
        <vertAlign val="superscript"/>
        <sz val="12"/>
        <color theme="1"/>
        <rFont val="Calibri"/>
        <family val="2"/>
        <scheme val="minor"/>
      </rPr>
      <t>4</t>
    </r>
  </si>
  <si>
    <r>
      <t>Briques</t>
    </r>
    <r>
      <rPr>
        <vertAlign val="superscript"/>
        <sz val="12"/>
        <color theme="1"/>
        <rFont val="Calibri"/>
        <family val="2"/>
        <scheme val="minor"/>
      </rPr>
      <t>5</t>
    </r>
  </si>
  <si>
    <r>
      <t>Emballages souples</t>
    </r>
    <r>
      <rPr>
        <vertAlign val="superscript"/>
        <sz val="12"/>
        <color theme="1"/>
        <rFont val="Calibri"/>
        <family val="2"/>
        <scheme val="minor"/>
      </rPr>
      <t>6</t>
    </r>
  </si>
  <si>
    <r>
      <t>Bouteilles PET</t>
    </r>
    <r>
      <rPr>
        <vertAlign val="superscript"/>
        <sz val="12"/>
        <color theme="1"/>
        <rFont val="Calibri"/>
        <family val="2"/>
        <scheme val="minor"/>
      </rPr>
      <t>7</t>
    </r>
  </si>
  <si>
    <r>
      <t>Pots-barquettes</t>
    </r>
    <r>
      <rPr>
        <vertAlign val="superscript"/>
        <sz val="12"/>
        <color theme="1"/>
        <rFont val="Calibri"/>
        <family val="2"/>
        <scheme val="minor"/>
      </rPr>
      <t>8</t>
    </r>
  </si>
  <si>
    <r>
      <t>Emballages fexibles</t>
    </r>
    <r>
      <rPr>
        <vertAlign val="superscript"/>
        <sz val="12"/>
        <color theme="1"/>
        <rFont val="Calibri"/>
        <family val="2"/>
        <scheme val="minor"/>
      </rPr>
      <t>9</t>
    </r>
  </si>
  <si>
    <r>
      <t>Bouteilles-bocaux</t>
    </r>
    <r>
      <rPr>
        <vertAlign val="superscript"/>
        <sz val="12"/>
        <color theme="1"/>
        <rFont val="Calibri"/>
        <family val="2"/>
        <scheme val="minor"/>
      </rPr>
      <t>10</t>
    </r>
  </si>
  <si>
    <t>Element</t>
  </si>
  <si>
    <r>
      <rPr>
        <u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Les coûts sont calculés en prenant en compte seulement la contribution à l'effet de serre, l'eutrophisation de l'eau et l'acidification de l'air</t>
    </r>
  </si>
  <si>
    <t>Coût par tonne de déchet plastique rejeté en Méditerranée</t>
  </si>
  <si>
    <t>Ecoemballages ACV comparative champignons</t>
  </si>
  <si>
    <t>Ademe ACV Sacs Carrefour</t>
  </si>
  <si>
    <t>D.1 Impact environnementaux par type d'emballage</t>
  </si>
  <si>
    <t>Matériau</t>
  </si>
  <si>
    <t>Taux d'internalisation</t>
  </si>
  <si>
    <t>Cout global de gestion (M€]</t>
  </si>
  <si>
    <t>D.2 Prix environnementaux (€/g)</t>
  </si>
  <si>
    <t>D.4 Coût environnemental des déchets plastique en mer (WWF 2019)</t>
  </si>
  <si>
    <t>WWF</t>
  </si>
  <si>
    <t>Cout global environnemental (M€)</t>
  </si>
  <si>
    <t>E.2 Coût externe total des emballages  (en M€)</t>
  </si>
  <si>
    <t>Auteurs:</t>
  </si>
  <si>
    <t>Date:</t>
  </si>
  <si>
    <t xml:space="preserve">Lien vers le rapport: </t>
  </si>
  <si>
    <t>http://i3.cnrs.fr/workingpaper/la-responsabilite-elargie-du-producteur-incite-t-elle-suffisamment-a-la-prevention-des-dechets-demballages/</t>
  </si>
  <si>
    <t>matthieu.glachant@mines-paristech.fr</t>
  </si>
  <si>
    <t xml:space="preserve">Contact: </t>
  </si>
  <si>
    <r>
      <rPr>
        <i/>
        <u/>
        <sz val="12"/>
        <rFont val="Calibri"/>
        <family val="2"/>
        <scheme val="minor"/>
      </rPr>
      <t>Feuille:</t>
    </r>
    <r>
      <rPr>
        <i/>
        <sz val="12"/>
        <rFont val="Calibri"/>
        <family val="2"/>
        <scheme val="minor"/>
      </rPr>
      <t xml:space="preserve"> Gisement emballages</t>
    </r>
  </si>
  <si>
    <t>Voir Tableau C.2</t>
  </si>
  <si>
    <r>
      <t>en PAP</t>
    </r>
    <r>
      <rPr>
        <b/>
        <vertAlign val="superscript"/>
        <sz val="11"/>
        <rFont val="Calibri"/>
        <family val="2"/>
        <scheme val="minor"/>
      </rPr>
      <t>2</t>
    </r>
  </si>
  <si>
    <r>
      <t>en AV</t>
    </r>
    <r>
      <rPr>
        <b/>
        <vertAlign val="superscript"/>
        <sz val="11"/>
        <rFont val="Calibri"/>
        <family val="2"/>
        <scheme val="minor"/>
      </rPr>
      <t>3</t>
    </r>
  </si>
  <si>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PAP: Collecte en Porte à Porte; </t>
    </r>
    <r>
      <rPr>
        <vertAlign val="superscript"/>
        <sz val="12"/>
        <rFont val="Calibri"/>
        <family val="2"/>
        <scheme val="minor"/>
      </rPr>
      <t>3</t>
    </r>
    <r>
      <rPr>
        <sz val="12"/>
        <rFont val="Calibri"/>
        <family val="2"/>
        <scheme val="minor"/>
      </rPr>
      <t>AV: Collecte en Apport Volontaire</t>
    </r>
  </si>
  <si>
    <t>Tableau 54</t>
  </si>
  <si>
    <t>Tableau 66</t>
  </si>
  <si>
    <t>plastiques métaux / papier carton</t>
  </si>
  <si>
    <t>Coût de collecte plastiques métaux</t>
  </si>
  <si>
    <t>Coût de collecte papier cartons</t>
  </si>
  <si>
    <t>Tableau 73</t>
  </si>
  <si>
    <t>Tableau 13</t>
  </si>
  <si>
    <t>Collecte selective des papier carton</t>
  </si>
  <si>
    <t>Taux de couverture</t>
  </si>
  <si>
    <t>Matthieu GLACHANT et Simon TOUBOUL, MINES ParisTech, i3-Cerna</t>
  </si>
  <si>
    <r>
      <rPr>
        <b/>
        <sz val="12"/>
        <color theme="1"/>
        <rFont val="Calibri"/>
        <family val="2"/>
        <scheme val="minor"/>
      </rPr>
      <t>Présentation :</t>
    </r>
    <r>
      <rPr>
        <sz val="12"/>
        <color theme="1"/>
        <rFont val="Calibri"/>
        <family val="2"/>
        <scheme val="minor"/>
      </rPr>
      <t xml:space="preserve"> Ce tableur permet de répliquer les calculs présentés dans le rapport intitulé "La Responsabilité Elargie du Producteur incite-t-elle suffisamment à la prévention des déchets d’emballages ?" Les feuilles identifiées de A à E reprennent les étapes clés de l'analyse. Les tableaux repris dans le rapport sont indiqués par un  fond bleu. </t>
    </r>
  </si>
  <si>
    <r>
      <rPr>
        <b/>
        <sz val="12"/>
        <color theme="1"/>
        <rFont val="Calibri"/>
        <family val="2"/>
        <scheme val="minor"/>
      </rPr>
      <t>Description des feuilles :</t>
    </r>
    <r>
      <rPr>
        <sz val="12"/>
        <color theme="1"/>
        <rFont val="Calibri"/>
        <family val="2"/>
        <scheme val="minor"/>
      </rPr>
      <t xml:space="preserve"> La feuille A 'Quantité d'emballages' décrit les types d'objets qui composent chaque matériau. Elle est utilisée dans la feuille D 'Coût environnemental' pour déterminer  l'impact environnemental de chaque matériau. En monétarisant l'ensemble de ces impacts, nous obtenons le tableau bilan"D5 Coût environnemental des emballages". La feuille B 'Eco-contributions' présente la contribution à Ecoemballage par matériau. La feuille C 'Coût économique de gestion' présente les coûts de collecte et de traitement des déchets d'emballage par matériau. La feuille E 'Niveau internalisation' combine les résultats des feuilles B, C et D.</t>
    </r>
  </si>
  <si>
    <t xml:space="preserve">Contribution totale </t>
  </si>
  <si>
    <t>C.7 Coût moyen de gestion par matériau (Hors TGAP)</t>
  </si>
  <si>
    <t>C.6 Coût moyen de gestion par matériau (Avec TGAP)</t>
  </si>
  <si>
    <t>Contribution à l'UVC</t>
  </si>
  <si>
    <t>Contribution totale Ecoemballages</t>
  </si>
  <si>
    <t xml:space="preserve">D.5 Coût environnemental </t>
  </si>
  <si>
    <t>Ecocontribution</t>
  </si>
  <si>
    <t>Coût externe</t>
  </si>
  <si>
    <t>Contribution totale</t>
  </si>
  <si>
    <t>Cout externe</t>
  </si>
  <si>
    <t>Coût moyen de gestion</t>
  </si>
  <si>
    <t>C.1. Coût des différentes opérations (€/t)</t>
  </si>
  <si>
    <t>Ts matériaux</t>
  </si>
  <si>
    <t>Cout total (M€)</t>
  </si>
  <si>
    <t>E.3 Taux de couverture des coûts de gestion des emballages (€/t)</t>
  </si>
  <si>
    <t>E.1 Taux d’internalisation du coût externe des emballages  (€/t)</t>
  </si>
  <si>
    <t>Coût environnemental (€/t)</t>
  </si>
  <si>
    <t>D.3. Coûts environnementaux par type d'emballage (€/t)</t>
  </si>
  <si>
    <t>B.3 Ecocontributions à Ecoemballage (€/t)</t>
  </si>
  <si>
    <t>A.3. Quantité d'emballages à domicile et hors domicile (en kt)</t>
  </si>
  <si>
    <t xml:space="preserve">Rapport domicile / hors domicle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</si>
</sst>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GillSans"/>
    </font>
    <font>
      <b/>
      <sz val="11"/>
      <name val="Calibri"/>
      <family val="2"/>
      <scheme val="minor"/>
    </font>
    <font>
      <sz val="12"/>
      <color theme="2" tint="-0.249977111117893"/>
      <name val="Calibri"/>
      <family val="2"/>
      <scheme val="minor"/>
    </font>
    <font>
      <u/>
      <sz val="12"/>
      <color theme="2" tint="-0.249977111117893"/>
      <name val="Calibri"/>
      <family val="2"/>
      <scheme val="minor"/>
    </font>
    <font>
      <b/>
      <sz val="12"/>
      <color theme="2" tint="-0.249977111117893"/>
      <name val="Calibri"/>
      <family val="2"/>
      <scheme val="minor"/>
    </font>
    <font>
      <sz val="9"/>
      <name val="GillSans"/>
    </font>
    <font>
      <b/>
      <sz val="12"/>
      <color theme="1"/>
      <name val="GillSans"/>
    </font>
    <font>
      <b/>
      <sz val="12"/>
      <color rgb="FFFF0000"/>
      <name val="Calibri"/>
      <family val="2"/>
      <scheme val="minor"/>
    </font>
    <font>
      <b/>
      <sz val="9"/>
      <color rgb="FFFF0000"/>
      <name val="GillSans"/>
    </font>
    <font>
      <sz val="12"/>
      <color rgb="FFFF0000"/>
      <name val="Calibri"/>
      <family val="2"/>
      <scheme val="minor"/>
    </font>
    <font>
      <sz val="9"/>
      <color rgb="FFFF0000"/>
      <name val="GillSans"/>
    </font>
    <font>
      <b/>
      <sz val="14"/>
      <name val="Calibri"/>
      <family val="2"/>
      <scheme val="minor"/>
    </font>
    <font>
      <sz val="12"/>
      <name val="Calibri Light"/>
      <family val="2"/>
      <scheme val="major"/>
    </font>
    <font>
      <sz val="9"/>
      <name val="Calibri Light"/>
      <family val="2"/>
      <scheme val="maj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 tint="0.34998626667073579"/>
      <name val="Calibri Light"/>
      <family val="2"/>
      <scheme val="major"/>
    </font>
    <font>
      <sz val="12"/>
      <color theme="1" tint="0.34998626667073579"/>
      <name val="Calibri Light"/>
      <family val="2"/>
      <scheme val="major"/>
    </font>
    <font>
      <sz val="12"/>
      <color theme="1" tint="0.34998626667073579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6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u/>
      <sz val="12"/>
      <name val="Calibri"/>
      <family val="2"/>
      <scheme val="minor"/>
    </font>
    <font>
      <i/>
      <u/>
      <sz val="12"/>
      <color theme="2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i/>
      <sz val="9"/>
      <name val="GillSans"/>
    </font>
    <font>
      <b/>
      <i/>
      <sz val="9"/>
      <name val="GillSans"/>
    </font>
    <font>
      <i/>
      <sz val="12"/>
      <color theme="2" tint="-0.249977111117893"/>
      <name val="Calibri"/>
      <family val="2"/>
      <scheme val="minor"/>
    </font>
    <font>
      <b/>
      <i/>
      <u/>
      <sz val="12"/>
      <name val="Calibri"/>
      <family val="2"/>
      <scheme val="minor"/>
    </font>
    <font>
      <i/>
      <sz val="12"/>
      <name val="Calibri (Corps)_x0000_"/>
    </font>
    <font>
      <i/>
      <u/>
      <sz val="12"/>
      <name val="Calibri (Corps)_x0000_"/>
    </font>
    <font>
      <b/>
      <vertAlign val="superscript"/>
      <sz val="11"/>
      <name val="Calibri"/>
      <family val="2"/>
      <scheme val="minor"/>
    </font>
    <font>
      <i/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3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1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2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2" fontId="0" fillId="0" borderId="14" xfId="0" applyNumberFormat="1" applyFont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2" fontId="0" fillId="0" borderId="13" xfId="0" applyNumberFormat="1" applyFont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12" xfId="0" applyNumberFormat="1" applyFont="1" applyBorder="1" applyAlignment="1">
      <alignment horizontal="center" vertical="center" wrapText="1"/>
    </xf>
    <xf numFmtId="2" fontId="15" fillId="0" borderId="0" xfId="1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164" fontId="21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4" fillId="0" borderId="0" xfId="1" applyFont="1" applyAlignment="1">
      <alignment vertical="center" wrapText="1"/>
    </xf>
    <xf numFmtId="0" fontId="14" fillId="0" borderId="17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2" fontId="24" fillId="0" borderId="14" xfId="0" applyNumberFormat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2" fontId="24" fillId="0" borderId="13" xfId="0" applyNumberFormat="1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2" fontId="29" fillId="0" borderId="14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23" fillId="0" borderId="0" xfId="0" applyFont="1" applyBorder="1" applyAlignment="1">
      <alignment horizontal="center" wrapText="1"/>
    </xf>
    <xf numFmtId="2" fontId="4" fillId="0" borderId="0" xfId="0" applyNumberFormat="1" applyFont="1" applyBorder="1" applyAlignment="1">
      <alignment horizont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4" fillId="0" borderId="17" xfId="0" applyFont="1" applyBorder="1"/>
    <xf numFmtId="9" fontId="4" fillId="0" borderId="14" xfId="0" applyNumberFormat="1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9" fontId="30" fillId="0" borderId="0" xfId="0" applyNumberFormat="1" applyFont="1" applyBorder="1" applyAlignment="1">
      <alignment horizontal="center" vertical="center"/>
    </xf>
    <xf numFmtId="9" fontId="30" fillId="0" borderId="14" xfId="0" applyNumberFormat="1" applyFont="1" applyBorder="1" applyAlignment="1">
      <alignment horizontal="center" vertical="center"/>
    </xf>
    <xf numFmtId="9" fontId="4" fillId="0" borderId="12" xfId="0" applyNumberFormat="1" applyFont="1" applyBorder="1" applyAlignment="1">
      <alignment horizontal="center" vertical="center"/>
    </xf>
    <xf numFmtId="0" fontId="15" fillId="0" borderId="0" xfId="1" applyFont="1" applyAlignment="1"/>
    <xf numFmtId="0" fontId="15" fillId="0" borderId="0" xfId="1" applyFont="1" applyBorder="1" applyAlignment="1">
      <alignment vertical="center" wrapText="1"/>
    </xf>
    <xf numFmtId="9" fontId="4" fillId="0" borderId="14" xfId="0" applyNumberFormat="1" applyFont="1" applyBorder="1" applyAlignment="1">
      <alignment horizontal="center" wrapText="1"/>
    </xf>
    <xf numFmtId="9" fontId="4" fillId="0" borderId="14" xfId="0" applyNumberFormat="1" applyFont="1" applyBorder="1" applyAlignment="1">
      <alignment horizontal="center"/>
    </xf>
    <xf numFmtId="9" fontId="4" fillId="0" borderId="13" xfId="0" applyNumberFormat="1" applyFont="1" applyBorder="1" applyAlignment="1">
      <alignment horizontal="center"/>
    </xf>
    <xf numFmtId="0" fontId="15" fillId="0" borderId="0" xfId="1" applyFont="1" applyBorder="1" applyAlignment="1">
      <alignment horizontal="center" vertical="center" wrapText="1"/>
    </xf>
    <xf numFmtId="9" fontId="4" fillId="0" borderId="0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center" vertical="center" wrapText="1"/>
    </xf>
    <xf numFmtId="1" fontId="13" fillId="0" borderId="12" xfId="0" applyNumberFormat="1" applyFont="1" applyBorder="1" applyAlignment="1">
      <alignment horizontal="center" vertical="center" wrapText="1"/>
    </xf>
    <xf numFmtId="9" fontId="4" fillId="0" borderId="14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0" fontId="5" fillId="0" borderId="2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20" fontId="14" fillId="0" borderId="0" xfId="0" applyNumberFormat="1" applyFont="1" applyAlignment="1">
      <alignment horizontal="center" vertical="center" wrapText="1"/>
    </xf>
    <xf numFmtId="10" fontId="5" fillId="0" borderId="0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9" fontId="4" fillId="0" borderId="12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2" fontId="4" fillId="2" borderId="8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2" fontId="0" fillId="0" borderId="14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" fontId="0" fillId="0" borderId="0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0" fillId="2" borderId="0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1" fontId="0" fillId="2" borderId="5" xfId="0" applyNumberFormat="1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1" fontId="0" fillId="2" borderId="1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wrapText="1"/>
    </xf>
    <xf numFmtId="1" fontId="0" fillId="2" borderId="0" xfId="0" applyNumberFormat="1" applyFont="1" applyFill="1" applyBorder="1" applyAlignment="1">
      <alignment horizontal="center" vertical="center" wrapText="1"/>
    </xf>
    <xf numFmtId="9" fontId="0" fillId="2" borderId="5" xfId="0" applyNumberFormat="1" applyFont="1" applyFill="1" applyBorder="1" applyAlignment="1">
      <alignment horizontal="center" vertical="center" wrapText="1"/>
    </xf>
    <xf numFmtId="164" fontId="0" fillId="2" borderId="7" xfId="0" applyNumberFormat="1" applyFont="1" applyFill="1" applyBorder="1" applyAlignment="1">
      <alignment horizontal="center" wrapText="1"/>
    </xf>
    <xf numFmtId="1" fontId="0" fillId="2" borderId="7" xfId="0" applyNumberFormat="1" applyFont="1" applyFill="1" applyBorder="1" applyAlignment="1">
      <alignment horizontal="center" vertical="center" wrapText="1"/>
    </xf>
    <xf numFmtId="9" fontId="0" fillId="2" borderId="8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9" fontId="2" fillId="2" borderId="8" xfId="0" applyNumberFormat="1" applyFont="1" applyFill="1" applyBorder="1" applyAlignment="1">
      <alignment horizontal="center" vertical="center" wrapText="1"/>
    </xf>
    <xf numFmtId="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3" fillId="0" borderId="0" xfId="1"/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24" xfId="1" applyFont="1" applyBorder="1" applyAlignment="1">
      <alignment horizontal="center" vertical="center" wrapText="1"/>
    </xf>
    <xf numFmtId="0" fontId="37" fillId="0" borderId="0" xfId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41" fillId="0" borderId="0" xfId="1" applyFont="1" applyBorder="1" applyAlignment="1">
      <alignment vertical="center" wrapText="1"/>
    </xf>
    <xf numFmtId="0" fontId="35" fillId="0" borderId="0" xfId="0" applyFont="1"/>
    <xf numFmtId="2" fontId="35" fillId="0" borderId="0" xfId="0" applyNumberFormat="1" applyFont="1" applyBorder="1" applyAlignment="1">
      <alignment horizontal="center" vertical="center"/>
    </xf>
    <xf numFmtId="0" fontId="36" fillId="0" borderId="0" xfId="0" applyFont="1"/>
    <xf numFmtId="0" fontId="36" fillId="0" borderId="0" xfId="1" applyFont="1" applyBorder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43" fillId="0" borderId="17" xfId="1" applyFont="1" applyBorder="1" applyAlignment="1">
      <alignment horizontal="center" vertical="center" wrapText="1"/>
    </xf>
    <xf numFmtId="0" fontId="36" fillId="0" borderId="0" xfId="1" applyFont="1" applyAlignment="1">
      <alignment vertical="center" wrapText="1"/>
    </xf>
    <xf numFmtId="0" fontId="36" fillId="0" borderId="17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6" fillId="0" borderId="26" xfId="1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6" fillId="0" borderId="27" xfId="1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5" fillId="0" borderId="12" xfId="0" applyFont="1" applyBorder="1" applyAlignment="1">
      <alignment vertical="center" wrapText="1"/>
    </xf>
    <xf numFmtId="0" fontId="36" fillId="0" borderId="16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36" fillId="0" borderId="17" xfId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1" fillId="2" borderId="11" xfId="0" applyFont="1" applyFill="1" applyBorder="1" applyAlignment="1">
      <alignment horizontal="center" wrapText="1"/>
    </xf>
    <xf numFmtId="0" fontId="23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35" fillId="0" borderId="17" xfId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6" fillId="0" borderId="14" xfId="1" applyFont="1" applyBorder="1" applyAlignment="1">
      <alignment horizontal="center" vertical="center" wrapText="1"/>
    </xf>
    <xf numFmtId="0" fontId="35" fillId="0" borderId="14" xfId="1" applyFont="1" applyBorder="1" applyAlignment="1">
      <alignment horizontal="center" vertical="center" wrapText="1"/>
    </xf>
    <xf numFmtId="0" fontId="43" fillId="0" borderId="17" xfId="1" applyFont="1" applyBorder="1" applyAlignment="1">
      <alignment horizontal="center" vertical="center" wrapText="1"/>
    </xf>
    <xf numFmtId="0" fontId="36" fillId="0" borderId="18" xfId="1" applyFont="1" applyBorder="1" applyAlignment="1">
      <alignment horizontal="center" vertical="center" wrapText="1"/>
    </xf>
    <xf numFmtId="0" fontId="36" fillId="0" borderId="13" xfId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6" fillId="0" borderId="0" xfId="1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2" fontId="36" fillId="0" borderId="26" xfId="1" applyNumberFormat="1" applyFont="1" applyBorder="1" applyAlignment="1">
      <alignment horizontal="center" vertical="center" wrapText="1"/>
    </xf>
    <xf numFmtId="2" fontId="36" fillId="0" borderId="27" xfId="1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36" fillId="0" borderId="26" xfId="1" applyFont="1" applyFill="1" applyBorder="1" applyAlignment="1">
      <alignment horizontal="center" vertical="center" wrapText="1"/>
    </xf>
    <xf numFmtId="0" fontId="36" fillId="0" borderId="27" xfId="1" applyFont="1" applyFill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6" fillId="2" borderId="9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0" fontId="11" fillId="0" borderId="20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4" fillId="0" borderId="14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9" fontId="4" fillId="0" borderId="13" xfId="0" applyNumberFormat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36" fillId="0" borderId="0" xfId="1" applyFont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26</xdr:row>
      <xdr:rowOff>0</xdr:rowOff>
    </xdr:from>
    <xdr:ext cx="12700" cy="12700"/>
    <xdr:pic>
      <xdr:nvPicPr>
        <xdr:cNvPr id="2" name="Image 1" descr="page55image9576">
          <a:extLst>
            <a:ext uri="{FF2B5EF4-FFF2-40B4-BE49-F238E27FC236}">
              <a16:creationId xmlns:a16="http://schemas.microsoft.com/office/drawing/2014/main" id="{5BB1542B-13DA-7E48-8961-4FC5DA885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4100" y="80010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2700" cy="12700"/>
    <xdr:pic>
      <xdr:nvPicPr>
        <xdr:cNvPr id="2" name="Image 1" descr="page55image9576">
          <a:extLst>
            <a:ext uri="{FF2B5EF4-FFF2-40B4-BE49-F238E27FC236}">
              <a16:creationId xmlns:a16="http://schemas.microsoft.com/office/drawing/2014/main" id="{DFE5C26D-10E8-674C-8A65-A1C56AAB4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4305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0</xdr:row>
      <xdr:rowOff>0</xdr:rowOff>
    </xdr:from>
    <xdr:ext cx="12700" cy="12700"/>
    <xdr:pic>
      <xdr:nvPicPr>
        <xdr:cNvPr id="3" name="Image 2" descr="page55image9576">
          <a:extLst>
            <a:ext uri="{FF2B5EF4-FFF2-40B4-BE49-F238E27FC236}">
              <a16:creationId xmlns:a16="http://schemas.microsoft.com/office/drawing/2014/main" id="{BEA9156A-9891-2341-9605-C0C7B2B1D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43053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tthieu.glachant@mines-paristech.fr" TargetMode="External"/><Relationship Id="rId1" Type="http://schemas.openxmlformats.org/officeDocument/2006/relationships/hyperlink" Target="http://i3.cnrs.fr/workingpaper/la-responsabilite-elargie-du-producteur-incite-t-elle-suffisamment-a-la-prevention-des-dechets-demballages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deme.fr/sites/default/files/assets/documents/gisementemballagesmenagers-evolution1994-2012_8221.pdf" TargetMode="External"/><Relationship Id="rId2" Type="http://schemas.openxmlformats.org/officeDocument/2006/relationships/hyperlink" Target="https://www.ademe.fr/sites/default/files/assets/documents/gisementemballagesmenagers-evolution1994-2012_8221.pdf" TargetMode="External"/><Relationship Id="rId1" Type="http://schemas.openxmlformats.org/officeDocument/2006/relationships/hyperlink" Target="https://www.ademe.fr/sites/default/files/assets/documents/gisementemballagesmenagers-evolution1994-2012_8221.pdf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mballagesmagazine.com/mediatheque/4/5/8/000016854.pdf" TargetMode="External"/><Relationship Id="rId1" Type="http://schemas.openxmlformats.org/officeDocument/2006/relationships/hyperlink" Target="http://www.ecoemballages.fr/source/node/2001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noe.org/documents/consult-and-count-doc/doc/1150/rubrique/175" TargetMode="External"/><Relationship Id="rId3" Type="http://schemas.openxmlformats.org/officeDocument/2006/relationships/hyperlink" Target="https://www.ademe.fr/sites/default/files/assets/documents/referentiel-couts-spgd-2014-032017-rapport.pdf" TargetMode="External"/><Relationship Id="rId7" Type="http://schemas.openxmlformats.org/officeDocument/2006/relationships/hyperlink" Target="https://www.emballagesmagazine.com/mediatheque/4/5/8/000016854.pdf" TargetMode="External"/><Relationship Id="rId2" Type="http://schemas.openxmlformats.org/officeDocument/2006/relationships/hyperlink" Target="https://www.ademe.fr/sites/default/files/assets/documents/etude_comparative_taxation_elimination_dechets_europe_201703_rapport.pdf" TargetMode="External"/><Relationship Id="rId1" Type="http://schemas.openxmlformats.org/officeDocument/2006/relationships/hyperlink" Target="https://www.ademe.fr/sites/default/files/assets/documents/referentiel-national-couts-prevention-et-gestion-dechets_010402.pdf" TargetMode="External"/><Relationship Id="rId6" Type="http://schemas.openxmlformats.org/officeDocument/2006/relationships/hyperlink" Target="https://www.emballagesmagazine.com/mediatheque/4/5/8/000016854.pdf" TargetMode="External"/><Relationship Id="rId5" Type="http://schemas.openxmlformats.org/officeDocument/2006/relationships/hyperlink" Target="https://www.ademe.fr/sites/default/files/assets/documents/referentiel-couts-spgd-2014-032017-rapport.pdf" TargetMode="External"/><Relationship Id="rId4" Type="http://schemas.openxmlformats.org/officeDocument/2006/relationships/hyperlink" Target="https://www.ademe.fr/sites/default/files/assets/documents/referentiel-couts-spgd-2014-032017-rapport.pdf" TargetMode="External"/><Relationship Id="rId9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bee.citeo.com/fr-FR/Projet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edelft.eu/en/publications/download/2387" TargetMode="External"/><Relationship Id="rId7" Type="http://schemas.openxmlformats.org/officeDocument/2006/relationships/hyperlink" Target="http://bee.citeo.com/fr-FR/Projet" TargetMode="External"/><Relationship Id="rId12" Type="http://schemas.openxmlformats.org/officeDocument/2006/relationships/hyperlink" Target="http://bee.citeo.com/fr-FR/Projet" TargetMode="External"/><Relationship Id="rId2" Type="http://schemas.openxmlformats.org/officeDocument/2006/relationships/hyperlink" Target="https://www.ademe.fr/sites/default/files/assets/documents/28300_acv_sacs_carrefour_2004.pdf" TargetMode="External"/><Relationship Id="rId1" Type="http://schemas.openxmlformats.org/officeDocument/2006/relationships/hyperlink" Target="http://www2.ecoemballages.fr/fileadmin/contribution/pdf/instit/etudes/ACV-comparative-champignons.pdf" TargetMode="External"/><Relationship Id="rId6" Type="http://schemas.openxmlformats.org/officeDocument/2006/relationships/hyperlink" Target="http://bee.citeo.com/fr-FR/Projet" TargetMode="External"/><Relationship Id="rId11" Type="http://schemas.openxmlformats.org/officeDocument/2006/relationships/hyperlink" Target="http://bee.citeo.com/fr-FR/Projet" TargetMode="External"/><Relationship Id="rId5" Type="http://schemas.openxmlformats.org/officeDocument/2006/relationships/hyperlink" Target="http://bee.citeo.com/fr-FR/Projet" TargetMode="External"/><Relationship Id="rId10" Type="http://schemas.openxmlformats.org/officeDocument/2006/relationships/hyperlink" Target="http://bee.citeo.com/fr-FR/Projet" TargetMode="External"/><Relationship Id="rId4" Type="http://schemas.openxmlformats.org/officeDocument/2006/relationships/hyperlink" Target="https://www.wwf.fr/sites/default/files/doc-2019-06/20190607_Guide_decideurs_Stoppons_le_torrent_de_plastique_WWF-min.pdf" TargetMode="External"/><Relationship Id="rId9" Type="http://schemas.openxmlformats.org/officeDocument/2006/relationships/hyperlink" Target="http://bee.citeo.com/fr-FR/Projet" TargetMode="External"/><Relationship Id="rId14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9"/>
  <sheetViews>
    <sheetView tabSelected="1" workbookViewId="0">
      <selection activeCell="A13" sqref="A13"/>
    </sheetView>
  </sheetViews>
  <sheetFormatPr baseColWidth="10" defaultRowHeight="15.75"/>
  <sheetData>
    <row r="2" spans="3:13">
      <c r="C2" s="322" t="s">
        <v>168</v>
      </c>
      <c r="D2" s="323">
        <v>43857</v>
      </c>
    </row>
    <row r="4" spans="3:13" ht="15.6" customHeight="1">
      <c r="C4" s="250" t="s">
        <v>188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3:13"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</row>
    <row r="6" spans="3:13"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</row>
    <row r="7" spans="3:13"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</row>
    <row r="8" spans="3:13"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</row>
    <row r="9" spans="3:13"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</row>
    <row r="10" spans="3:13"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</row>
    <row r="11" spans="3:13" ht="15.6" customHeight="1">
      <c r="C11" s="250" t="s">
        <v>189</v>
      </c>
      <c r="D11" s="250"/>
      <c r="E11" s="250"/>
      <c r="F11" s="250"/>
      <c r="G11" s="250"/>
      <c r="H11" s="250"/>
      <c r="I11" s="250"/>
      <c r="J11" s="250"/>
      <c r="K11" s="250"/>
      <c r="L11" s="250"/>
      <c r="M11" s="250"/>
    </row>
    <row r="12" spans="3:13"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</row>
    <row r="13" spans="3:13">
      <c r="C13" s="250"/>
      <c r="D13" s="250"/>
      <c r="E13" s="250"/>
      <c r="F13" s="250"/>
      <c r="G13" s="250"/>
      <c r="H13" s="250"/>
      <c r="I13" s="250"/>
      <c r="J13" s="250"/>
      <c r="K13" s="250"/>
      <c r="L13" s="250"/>
      <c r="M13" s="250"/>
    </row>
    <row r="14" spans="3:13"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</row>
    <row r="15" spans="3:13" ht="15.6" customHeight="1">
      <c r="C15" s="250"/>
      <c r="D15" s="250"/>
      <c r="E15" s="250"/>
      <c r="F15" s="250"/>
      <c r="G15" s="250"/>
      <c r="H15" s="250"/>
      <c r="I15" s="250"/>
      <c r="J15" s="250"/>
      <c r="K15" s="250"/>
      <c r="L15" s="250"/>
      <c r="M15" s="250"/>
    </row>
    <row r="16" spans="3:13">
      <c r="C16" s="250"/>
      <c r="D16" s="250"/>
      <c r="E16" s="250"/>
      <c r="F16" s="250"/>
      <c r="G16" s="250"/>
      <c r="H16" s="250"/>
      <c r="I16" s="250"/>
      <c r="J16" s="250"/>
      <c r="K16" s="250"/>
      <c r="L16" s="250"/>
      <c r="M16" s="250"/>
    </row>
    <row r="17" spans="3:13"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</row>
    <row r="18" spans="3:13"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</row>
    <row r="19" spans="3:13"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</row>
    <row r="20" spans="3:13">
      <c r="C20" s="244"/>
      <c r="D20" s="244"/>
      <c r="E20" s="244"/>
      <c r="F20" s="244"/>
      <c r="G20" s="244"/>
      <c r="H20" s="244"/>
      <c r="I20" s="244"/>
      <c r="J20" s="244"/>
      <c r="K20" s="244"/>
      <c r="L20" s="244"/>
      <c r="M20" s="244"/>
    </row>
    <row r="21" spans="3:13">
      <c r="C21" s="212"/>
      <c r="D21" s="212"/>
      <c r="E21" s="212"/>
      <c r="F21" s="212"/>
      <c r="G21" s="212"/>
      <c r="H21" s="212"/>
      <c r="I21" s="212"/>
      <c r="J21" s="212"/>
      <c r="K21" s="212"/>
      <c r="L21" s="212"/>
      <c r="M21" s="212"/>
    </row>
    <row r="23" spans="3:13">
      <c r="C23" s="249" t="s">
        <v>169</v>
      </c>
      <c r="D23" s="249"/>
      <c r="E23" s="213" t="s">
        <v>170</v>
      </c>
    </row>
    <row r="28" spans="3:13">
      <c r="C28" t="s">
        <v>167</v>
      </c>
      <c r="D28" t="s">
        <v>187</v>
      </c>
    </row>
    <row r="29" spans="3:13">
      <c r="C29" t="s">
        <v>172</v>
      </c>
      <c r="D29" s="213" t="s">
        <v>171</v>
      </c>
    </row>
  </sheetData>
  <mergeCells count="3">
    <mergeCell ref="C23:D23"/>
    <mergeCell ref="C4:M9"/>
    <mergeCell ref="C11:M19"/>
  </mergeCells>
  <hyperlinks>
    <hyperlink ref="E23" r:id="rId1"/>
    <hyperlink ref="D2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6"/>
  <sheetViews>
    <sheetView topLeftCell="C1" zoomScale="130" zoomScaleNormal="130" workbookViewId="0">
      <selection activeCell="E38" sqref="E38"/>
    </sheetView>
  </sheetViews>
  <sheetFormatPr baseColWidth="10" defaultColWidth="11.25" defaultRowHeight="15.75"/>
  <cols>
    <col min="1" max="1" width="11.25" style="4"/>
    <col min="2" max="2" width="19.75" style="4" customWidth="1"/>
    <col min="3" max="3" width="26.5" style="4" customWidth="1"/>
    <col min="4" max="4" width="22.75" style="4" customWidth="1"/>
    <col min="5" max="5" width="18.875" style="4" customWidth="1"/>
    <col min="6" max="6" width="14.625" style="4" customWidth="1"/>
    <col min="7" max="7" width="11.25" style="4"/>
    <col min="8" max="8" width="20.5" style="4" customWidth="1"/>
    <col min="9" max="9" width="30.75" style="4" customWidth="1"/>
    <col min="10" max="10" width="16" style="4" customWidth="1"/>
    <col min="11" max="11" width="17.5" style="4" customWidth="1"/>
    <col min="12" max="16384" width="11.25" style="4"/>
  </cols>
  <sheetData>
    <row r="2" spans="2:12">
      <c r="D2" s="118"/>
    </row>
    <row r="3" spans="2:12">
      <c r="B3" s="256" t="s">
        <v>122</v>
      </c>
      <c r="C3" s="257"/>
      <c r="D3" s="257"/>
      <c r="E3" s="258"/>
      <c r="F3" s="227" t="s">
        <v>70</v>
      </c>
      <c r="H3" s="256" t="s">
        <v>123</v>
      </c>
      <c r="I3" s="257"/>
      <c r="J3" s="257"/>
      <c r="K3" s="258"/>
      <c r="L3" s="227" t="s">
        <v>70</v>
      </c>
    </row>
    <row r="4" spans="2:12" ht="31.15" customHeight="1">
      <c r="B4" s="68" t="s">
        <v>49</v>
      </c>
      <c r="C4" s="39" t="s">
        <v>50</v>
      </c>
      <c r="D4" s="39" t="s">
        <v>117</v>
      </c>
      <c r="E4" s="69" t="s">
        <v>118</v>
      </c>
      <c r="F4" s="255" t="s">
        <v>107</v>
      </c>
      <c r="H4" s="68" t="s">
        <v>49</v>
      </c>
      <c r="I4" s="39" t="s">
        <v>50</v>
      </c>
      <c r="J4" s="39" t="s">
        <v>117</v>
      </c>
      <c r="K4" s="69" t="s">
        <v>118</v>
      </c>
      <c r="L4" s="255" t="s">
        <v>107</v>
      </c>
    </row>
    <row r="5" spans="2:12">
      <c r="B5" s="251" t="s">
        <v>22</v>
      </c>
      <c r="C5" s="15" t="s">
        <v>51</v>
      </c>
      <c r="D5" s="114">
        <v>0.72</v>
      </c>
      <c r="E5" s="112">
        <f>D5/($D$5+$D$6)</f>
        <v>0.81818181818181812</v>
      </c>
      <c r="F5" s="255"/>
      <c r="H5" s="251" t="s">
        <v>22</v>
      </c>
      <c r="I5" s="15" t="s">
        <v>51</v>
      </c>
      <c r="J5" s="114">
        <v>0.03</v>
      </c>
      <c r="K5" s="112">
        <v>0.03</v>
      </c>
      <c r="L5" s="255"/>
    </row>
    <row r="6" spans="2:12">
      <c r="B6" s="251"/>
      <c r="C6" s="15" t="s">
        <v>52</v>
      </c>
      <c r="D6" s="114">
        <v>0.16</v>
      </c>
      <c r="E6" s="112">
        <f>D6/($D$5+$D$6)</f>
        <v>0.18181818181818182</v>
      </c>
      <c r="F6" s="255"/>
      <c r="H6" s="251"/>
      <c r="I6" s="15" t="s">
        <v>52</v>
      </c>
      <c r="J6" s="114">
        <v>0.97</v>
      </c>
      <c r="K6" s="112">
        <f>J6/($J$5+$J$6)</f>
        <v>0.97</v>
      </c>
      <c r="L6" s="255"/>
    </row>
    <row r="7" spans="2:12">
      <c r="B7" s="74"/>
      <c r="C7" s="110" t="s">
        <v>112</v>
      </c>
      <c r="D7" s="115">
        <v>0.08</v>
      </c>
      <c r="E7" s="116" t="s">
        <v>114</v>
      </c>
      <c r="F7" s="255"/>
      <c r="H7" s="74"/>
      <c r="I7" s="15"/>
      <c r="J7" s="114"/>
      <c r="K7" s="112"/>
      <c r="L7" s="255"/>
    </row>
    <row r="8" spans="2:12">
      <c r="B8" s="74"/>
      <c r="C8" s="110" t="s">
        <v>113</v>
      </c>
      <c r="D8" s="115">
        <v>0.04</v>
      </c>
      <c r="E8" s="116" t="s">
        <v>114</v>
      </c>
      <c r="F8" s="255"/>
      <c r="H8" s="74" t="s">
        <v>23</v>
      </c>
      <c r="I8" s="15" t="s">
        <v>51</v>
      </c>
      <c r="J8" s="114">
        <v>0</v>
      </c>
      <c r="K8" s="112">
        <f>J8/($J$8+$J$9+$J$10)</f>
        <v>0</v>
      </c>
      <c r="L8" s="255"/>
    </row>
    <row r="9" spans="2:12">
      <c r="B9" s="74"/>
      <c r="C9" s="15"/>
      <c r="D9" s="114"/>
      <c r="E9" s="112"/>
      <c r="F9" s="255"/>
      <c r="H9" s="74"/>
      <c r="I9" s="15" t="s">
        <v>52</v>
      </c>
      <c r="J9" s="114">
        <v>0.48</v>
      </c>
      <c r="K9" s="112">
        <f>J9/($J$8+$J$9+$J$10)</f>
        <v>0.62337662337662336</v>
      </c>
      <c r="L9" s="255"/>
    </row>
    <row r="10" spans="2:12">
      <c r="B10" s="251" t="s">
        <v>23</v>
      </c>
      <c r="C10" s="15" t="s">
        <v>51</v>
      </c>
      <c r="D10" s="114">
        <v>0.36</v>
      </c>
      <c r="E10" s="112">
        <f>D10/($D$10+$D$11+$D$12)</f>
        <v>0.4044943820224719</v>
      </c>
      <c r="F10" s="255"/>
      <c r="H10" s="74"/>
      <c r="I10" s="15" t="s">
        <v>53</v>
      </c>
      <c r="J10" s="114">
        <v>0.28999999999999998</v>
      </c>
      <c r="K10" s="112">
        <f>J10/($J$8+$J$9+$J$10)</f>
        <v>0.37662337662337658</v>
      </c>
      <c r="L10" s="255"/>
    </row>
    <row r="11" spans="2:12">
      <c r="B11" s="251"/>
      <c r="C11" s="15" t="s">
        <v>52</v>
      </c>
      <c r="D11" s="114">
        <v>0.27</v>
      </c>
      <c r="E11" s="112">
        <f>D11/($D$10+$D$11+$D$12)</f>
        <v>0.30337078651685395</v>
      </c>
      <c r="F11" s="255"/>
      <c r="H11" s="74"/>
      <c r="I11" s="110" t="s">
        <v>115</v>
      </c>
      <c r="J11" s="115">
        <v>0.06</v>
      </c>
      <c r="K11" s="116" t="s">
        <v>114</v>
      </c>
      <c r="L11" s="255"/>
    </row>
    <row r="12" spans="2:12">
      <c r="B12" s="251"/>
      <c r="C12" s="15" t="s">
        <v>53</v>
      </c>
      <c r="D12" s="114">
        <v>0.26</v>
      </c>
      <c r="E12" s="112">
        <f>D12/($D$10+$D$11+$D$12)</f>
        <v>0.29213483146067415</v>
      </c>
      <c r="F12" s="255"/>
      <c r="H12" s="74"/>
      <c r="I12" s="110"/>
      <c r="J12" s="115"/>
      <c r="K12" s="116"/>
      <c r="L12" s="255"/>
    </row>
    <row r="13" spans="2:12">
      <c r="B13" s="74"/>
      <c r="C13" s="110" t="s">
        <v>112</v>
      </c>
      <c r="D13" s="115">
        <v>0.05</v>
      </c>
      <c r="E13" s="116" t="s">
        <v>114</v>
      </c>
      <c r="F13" s="255"/>
      <c r="H13" s="74" t="s">
        <v>55</v>
      </c>
      <c r="I13" s="15" t="s">
        <v>54</v>
      </c>
      <c r="J13" s="114">
        <v>0.52</v>
      </c>
      <c r="K13" s="112">
        <f>J13/($J$13+$J$15+$J$16)</f>
        <v>0.59090909090909094</v>
      </c>
      <c r="L13" s="255"/>
    </row>
    <row r="14" spans="2:12">
      <c r="B14" s="74"/>
      <c r="C14" s="110"/>
      <c r="D14" s="115"/>
      <c r="E14" s="116"/>
      <c r="F14" s="255"/>
      <c r="H14" s="74"/>
      <c r="I14" s="110" t="s">
        <v>119</v>
      </c>
      <c r="J14" s="115">
        <v>0.09</v>
      </c>
      <c r="K14" s="116" t="s">
        <v>114</v>
      </c>
      <c r="L14" s="255"/>
    </row>
    <row r="15" spans="2:12">
      <c r="B15" s="74"/>
      <c r="C15" s="110" t="s">
        <v>115</v>
      </c>
      <c r="D15" s="115">
        <v>0.06</v>
      </c>
      <c r="E15" s="116" t="s">
        <v>114</v>
      </c>
      <c r="F15" s="255"/>
      <c r="H15" s="74"/>
      <c r="I15" s="15" t="s">
        <v>38</v>
      </c>
      <c r="J15" s="114">
        <v>0</v>
      </c>
      <c r="K15" s="112">
        <f>J15/($J$13+$J$16+$J$15)</f>
        <v>0</v>
      </c>
      <c r="L15" s="255"/>
    </row>
    <row r="16" spans="2:12">
      <c r="B16" s="74"/>
      <c r="C16" s="15"/>
      <c r="D16" s="114"/>
      <c r="E16" s="112"/>
      <c r="F16" s="255"/>
      <c r="H16" s="74"/>
      <c r="I16" s="15" t="s">
        <v>69</v>
      </c>
      <c r="J16" s="114">
        <v>0.36</v>
      </c>
      <c r="K16" s="112">
        <f>J16/($J$13+$J$16+$J$15)</f>
        <v>0.40909090909090906</v>
      </c>
      <c r="L16" s="255"/>
    </row>
    <row r="17" spans="2:12">
      <c r="B17" s="251" t="s">
        <v>55</v>
      </c>
      <c r="C17" s="15" t="s">
        <v>54</v>
      </c>
      <c r="D17" s="114">
        <v>0.71</v>
      </c>
      <c r="E17" s="112">
        <f>D17/($D$17+$D$18+$D$19)</f>
        <v>0.76344086021505375</v>
      </c>
      <c r="F17" s="255"/>
      <c r="H17" s="74"/>
      <c r="I17" s="110" t="s">
        <v>113</v>
      </c>
      <c r="J17" s="115">
        <v>0.03</v>
      </c>
      <c r="K17" s="116" t="s">
        <v>114</v>
      </c>
      <c r="L17" s="255"/>
    </row>
    <row r="18" spans="2:12">
      <c r="B18" s="251"/>
      <c r="C18" s="15" t="s">
        <v>38</v>
      </c>
      <c r="D18" s="114">
        <v>0.08</v>
      </c>
      <c r="E18" s="112">
        <f>D18/($D$17+$D$18+$D$19)</f>
        <v>8.6021505376344093E-2</v>
      </c>
      <c r="F18" s="255"/>
      <c r="H18" s="74"/>
      <c r="I18" s="15"/>
      <c r="J18" s="114"/>
      <c r="K18" s="112"/>
      <c r="L18" s="255"/>
    </row>
    <row r="19" spans="2:12">
      <c r="B19" s="74"/>
      <c r="C19" s="15" t="s">
        <v>69</v>
      </c>
      <c r="D19" s="114">
        <v>0.14000000000000001</v>
      </c>
      <c r="E19" s="112">
        <f>D19/($D$17+$D$18+$D$19)</f>
        <v>0.15053763440860218</v>
      </c>
      <c r="F19" s="255"/>
      <c r="H19" s="74"/>
      <c r="I19" s="15" t="s">
        <v>56</v>
      </c>
      <c r="J19" s="114">
        <v>0.18</v>
      </c>
      <c r="K19" s="112">
        <f>J19/($J$19+$J$20+$J$21)</f>
        <v>0.19780219780219779</v>
      </c>
      <c r="L19" s="255"/>
    </row>
    <row r="20" spans="2:12">
      <c r="B20" s="74"/>
      <c r="C20" s="110" t="s">
        <v>116</v>
      </c>
      <c r="D20" s="115">
        <v>7.0000000000000007E-2</v>
      </c>
      <c r="E20" s="116" t="s">
        <v>114</v>
      </c>
      <c r="F20" s="255"/>
      <c r="H20" s="74" t="s">
        <v>28</v>
      </c>
      <c r="I20" s="15" t="s">
        <v>57</v>
      </c>
      <c r="J20" s="114">
        <v>0.64</v>
      </c>
      <c r="K20" s="112">
        <f>J20/($J$19+$J$20+$J$21)</f>
        <v>0.70329670329670324</v>
      </c>
      <c r="L20" s="255"/>
    </row>
    <row r="21" spans="2:12">
      <c r="B21" s="74"/>
      <c r="C21" s="5"/>
      <c r="D21" s="114"/>
      <c r="E21" s="112"/>
      <c r="F21" s="255"/>
      <c r="H21" s="74"/>
      <c r="I21" s="15" t="s">
        <v>58</v>
      </c>
      <c r="J21" s="114">
        <v>0.09</v>
      </c>
      <c r="K21" s="112">
        <f>J21/($J$19+$J$20+$J$21)</f>
        <v>9.8901098901098897E-2</v>
      </c>
      <c r="L21" s="255"/>
    </row>
    <row r="22" spans="2:12">
      <c r="B22" s="251" t="s">
        <v>28</v>
      </c>
      <c r="C22" s="15" t="s">
        <v>56</v>
      </c>
      <c r="D22" s="114">
        <v>0.4</v>
      </c>
      <c r="E22" s="112">
        <f>D22/($D$22+$D$23+$D$24)</f>
        <v>0.4</v>
      </c>
      <c r="F22" s="255"/>
      <c r="H22" s="74"/>
      <c r="I22" s="15" t="s">
        <v>38</v>
      </c>
      <c r="J22" s="114">
        <v>0</v>
      </c>
      <c r="K22" s="112">
        <v>0</v>
      </c>
      <c r="L22" s="255"/>
    </row>
    <row r="23" spans="2:12">
      <c r="B23" s="251"/>
      <c r="C23" s="15" t="s">
        <v>57</v>
      </c>
      <c r="D23" s="114">
        <v>0.34</v>
      </c>
      <c r="E23" s="112">
        <f>D23/($D$22+$D$23+$D$24)</f>
        <v>0.34</v>
      </c>
      <c r="F23" s="255"/>
      <c r="H23" s="74"/>
      <c r="I23" s="110" t="s">
        <v>113</v>
      </c>
      <c r="J23" s="115">
        <v>0.03</v>
      </c>
      <c r="K23" s="116" t="s">
        <v>114</v>
      </c>
      <c r="L23" s="255"/>
    </row>
    <row r="24" spans="2:12">
      <c r="B24" s="251"/>
      <c r="C24" s="15" t="s">
        <v>58</v>
      </c>
      <c r="D24" s="114">
        <v>0.26</v>
      </c>
      <c r="E24" s="112">
        <f>D24/($D$22+$D$23+$D$24)</f>
        <v>0.26</v>
      </c>
      <c r="F24" s="255"/>
      <c r="H24" s="111"/>
      <c r="I24" s="15"/>
      <c r="J24" s="114"/>
      <c r="K24" s="112"/>
      <c r="L24" s="255"/>
    </row>
    <row r="25" spans="2:12">
      <c r="B25" s="74"/>
      <c r="C25" s="15"/>
      <c r="D25" s="114"/>
      <c r="E25" s="112"/>
      <c r="F25" s="255"/>
      <c r="H25" s="37" t="s">
        <v>24</v>
      </c>
      <c r="I25" s="38" t="s">
        <v>59</v>
      </c>
      <c r="J25" s="117">
        <v>1</v>
      </c>
      <c r="K25" s="113">
        <f>J25/J25</f>
        <v>1</v>
      </c>
      <c r="L25" s="255"/>
    </row>
    <row r="26" spans="2:12">
      <c r="B26" s="37" t="s">
        <v>24</v>
      </c>
      <c r="C26" s="38" t="s">
        <v>59</v>
      </c>
      <c r="D26" s="117">
        <v>1</v>
      </c>
      <c r="E26" s="113">
        <v>1</v>
      </c>
      <c r="F26" s="255"/>
      <c r="G26" s="5"/>
      <c r="H26" s="15"/>
      <c r="L26" s="228"/>
    </row>
    <row r="27" spans="2:12">
      <c r="F27" s="225"/>
      <c r="G27" s="5"/>
      <c r="H27" s="15"/>
      <c r="L27" s="225"/>
    </row>
    <row r="28" spans="2:12">
      <c r="F28" s="225"/>
      <c r="G28" s="5"/>
      <c r="H28" s="15"/>
    </row>
    <row r="29" spans="2:12" ht="21">
      <c r="B29" s="252" t="s">
        <v>209</v>
      </c>
      <c r="C29" s="253"/>
      <c r="D29" s="253"/>
      <c r="E29" s="254"/>
      <c r="F29" s="227" t="s">
        <v>70</v>
      </c>
      <c r="H29" s="324" t="s">
        <v>124</v>
      </c>
      <c r="I29" s="325"/>
      <c r="J29" s="326"/>
    </row>
    <row r="30" spans="2:12" s="23" customFormat="1" ht="31.15" customHeight="1">
      <c r="B30" s="68" t="s">
        <v>49</v>
      </c>
      <c r="C30" s="39" t="s">
        <v>120</v>
      </c>
      <c r="D30" s="39" t="s">
        <v>121</v>
      </c>
      <c r="E30" s="69" t="s">
        <v>210</v>
      </c>
      <c r="F30" s="255" t="s">
        <v>107</v>
      </c>
      <c r="H30" s="327" t="s">
        <v>49</v>
      </c>
      <c r="I30" s="16" t="s">
        <v>50</v>
      </c>
      <c r="J30" s="328" t="s">
        <v>125</v>
      </c>
    </row>
    <row r="31" spans="2:12">
      <c r="B31" s="40" t="s">
        <v>22</v>
      </c>
      <c r="C31" s="20">
        <v>294</v>
      </c>
      <c r="D31" s="20">
        <v>22</v>
      </c>
      <c r="E31" s="120">
        <f>C31/(D31+C31)</f>
        <v>0.930379746835443</v>
      </c>
      <c r="F31" s="255"/>
      <c r="H31" s="329" t="s">
        <v>22</v>
      </c>
      <c r="I31" s="330" t="s">
        <v>51</v>
      </c>
      <c r="J31" s="331">
        <f>E5*$E$31+(1-$E$31)*K5</f>
        <v>0.76330840046029902</v>
      </c>
    </row>
    <row r="32" spans="2:12">
      <c r="B32" s="41" t="s">
        <v>68</v>
      </c>
      <c r="C32" s="19">
        <v>39</v>
      </c>
      <c r="D32" s="19">
        <v>6</v>
      </c>
      <c r="E32" s="121">
        <f>C32/(D32+C32)</f>
        <v>0.8666666666666667</v>
      </c>
      <c r="F32" s="255"/>
      <c r="H32" s="329"/>
      <c r="I32" s="330" t="s">
        <v>52</v>
      </c>
      <c r="J32" s="331">
        <f>E6*$E$31+(1-$E$31)*K6</f>
        <v>0.23669159953970081</v>
      </c>
    </row>
    <row r="33" spans="2:10">
      <c r="B33" s="41" t="s">
        <v>55</v>
      </c>
      <c r="C33" s="19">
        <v>1093</v>
      </c>
      <c r="D33" s="19">
        <v>155</v>
      </c>
      <c r="E33" s="121">
        <f>C33/(D33+C33)</f>
        <v>0.87580128205128205</v>
      </c>
      <c r="F33" s="255"/>
      <c r="H33" s="332"/>
      <c r="I33" s="330"/>
      <c r="J33" s="331"/>
    </row>
    <row r="34" spans="2:10">
      <c r="B34" s="41" t="s">
        <v>28</v>
      </c>
      <c r="C34" s="19">
        <v>1159</v>
      </c>
      <c r="D34" s="19">
        <v>124</v>
      </c>
      <c r="E34" s="121">
        <f>C34/(D34+C34)</f>
        <v>0.90335151987529227</v>
      </c>
      <c r="F34" s="255"/>
      <c r="H34" s="329" t="s">
        <v>23</v>
      </c>
      <c r="I34" s="330" t="s">
        <v>51</v>
      </c>
      <c r="J34" s="331">
        <f>E10*$E$32+(1-$E$32)*K8</f>
        <v>0.35056179775280899</v>
      </c>
    </row>
    <row r="35" spans="2:10">
      <c r="B35" s="42" t="s">
        <v>24</v>
      </c>
      <c r="C35" s="43">
        <v>2221</v>
      </c>
      <c r="D35" s="43">
        <v>385</v>
      </c>
      <c r="E35" s="122">
        <f>C35/(D35+C35)</f>
        <v>0.85226400613967768</v>
      </c>
      <c r="F35" s="255"/>
      <c r="H35" s="329"/>
      <c r="I35" s="330" t="s">
        <v>52</v>
      </c>
      <c r="J35" s="331">
        <f>E11*$E$32+(1-$E$32)*K9</f>
        <v>0.34603823143148987</v>
      </c>
    </row>
    <row r="36" spans="2:10">
      <c r="E36" s="18"/>
      <c r="F36" s="226"/>
      <c r="H36" s="329"/>
      <c r="I36" s="330" t="s">
        <v>53</v>
      </c>
      <c r="J36" s="331">
        <f>E12*$E$32+(1-$E$32)*K10</f>
        <v>0.30339997081570114</v>
      </c>
    </row>
    <row r="37" spans="2:10">
      <c r="E37" s="18"/>
      <c r="F37" s="226"/>
      <c r="H37" s="332"/>
      <c r="I37" s="330"/>
      <c r="J37" s="331"/>
    </row>
    <row r="38" spans="2:10">
      <c r="E38" s="18"/>
      <c r="F38" s="18"/>
      <c r="H38" s="329" t="s">
        <v>55</v>
      </c>
      <c r="I38" s="330" t="s">
        <v>54</v>
      </c>
      <c r="J38" s="331">
        <f>E17*$E$33+(1-$E$33)*K13</f>
        <v>0.74201263566182918</v>
      </c>
    </row>
    <row r="39" spans="2:10">
      <c r="E39" s="18"/>
      <c r="F39" s="18"/>
      <c r="H39" s="329"/>
      <c r="I39" s="330" t="s">
        <v>38</v>
      </c>
      <c r="J39" s="331">
        <f>E18*$E$33+(1-$E$33)*K15</f>
        <v>7.5337744692583405E-2</v>
      </c>
    </row>
    <row r="40" spans="2:10">
      <c r="E40" s="18"/>
      <c r="F40" s="18"/>
      <c r="H40" s="332"/>
      <c r="I40" s="330" t="s">
        <v>69</v>
      </c>
      <c r="J40" s="331">
        <f>E19*$E$33+(1-$E$33)*K16</f>
        <v>0.1826496196455874</v>
      </c>
    </row>
    <row r="41" spans="2:10">
      <c r="E41" s="18"/>
      <c r="F41" s="18"/>
      <c r="H41" s="332"/>
      <c r="I41" s="330"/>
      <c r="J41" s="331"/>
    </row>
    <row r="42" spans="2:10">
      <c r="E42" s="18"/>
      <c r="F42" s="18"/>
      <c r="H42" s="329" t="s">
        <v>28</v>
      </c>
      <c r="I42" s="330" t="s">
        <v>56</v>
      </c>
      <c r="J42" s="331">
        <f>E22*$E$34+(1-$E$34)*K19</f>
        <v>0.38045788973302613</v>
      </c>
    </row>
    <row r="43" spans="2:10">
      <c r="E43" s="18"/>
      <c r="F43" s="18"/>
      <c r="H43" s="329"/>
      <c r="I43" s="330" t="s">
        <v>57</v>
      </c>
      <c r="J43" s="331">
        <f>E23*$E$34+(1-$E$34)*K20</f>
        <v>0.37511207420794324</v>
      </c>
    </row>
    <row r="44" spans="2:10">
      <c r="E44" s="18"/>
      <c r="F44" s="18"/>
      <c r="H44" s="329"/>
      <c r="I44" s="330" t="s">
        <v>58</v>
      </c>
      <c r="J44" s="331">
        <f>E24*$E$34+(1-$E$34)*K21</f>
        <v>0.2444300360590306</v>
      </c>
    </row>
    <row r="45" spans="2:10">
      <c r="E45" s="18"/>
      <c r="F45" s="18"/>
      <c r="H45" s="332"/>
      <c r="I45" s="330"/>
      <c r="J45" s="331"/>
    </row>
    <row r="46" spans="2:10">
      <c r="E46" s="18"/>
      <c r="F46" s="18"/>
      <c r="H46" s="333" t="s">
        <v>24</v>
      </c>
      <c r="I46" s="334" t="s">
        <v>59</v>
      </c>
      <c r="J46" s="335">
        <f>E26*$E$35+(1-$E$35)*K25</f>
        <v>1</v>
      </c>
    </row>
  </sheetData>
  <mergeCells count="16">
    <mergeCell ref="B3:E3"/>
    <mergeCell ref="L4:L25"/>
    <mergeCell ref="F30:F35"/>
    <mergeCell ref="H3:K3"/>
    <mergeCell ref="H5:H6"/>
    <mergeCell ref="H31:H32"/>
    <mergeCell ref="H34:H36"/>
    <mergeCell ref="H38:H39"/>
    <mergeCell ref="H42:H44"/>
    <mergeCell ref="H29:J29"/>
    <mergeCell ref="B5:B6"/>
    <mergeCell ref="B10:B12"/>
    <mergeCell ref="B17:B18"/>
    <mergeCell ref="B22:B24"/>
    <mergeCell ref="B29:E29"/>
    <mergeCell ref="F4:F26"/>
  </mergeCells>
  <hyperlinks>
    <hyperlink ref="F4" r:id="rId1"/>
    <hyperlink ref="L4" r:id="rId2"/>
    <hyperlink ref="F30" r:id="rId3"/>
  </hyperlinks>
  <pageMargins left="0.7" right="0.7" top="0.75" bottom="0.75" header="0.3" footer="0.3"/>
  <pageSetup paperSize="9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opLeftCell="B1" zoomScale="115" zoomScaleNormal="115" workbookViewId="0">
      <selection activeCell="G23" sqref="G23"/>
    </sheetView>
  </sheetViews>
  <sheetFormatPr baseColWidth="10" defaultColWidth="11.25" defaultRowHeight="15.75"/>
  <cols>
    <col min="1" max="1" width="11.25" style="14"/>
    <col min="2" max="2" width="21.625" style="14" customWidth="1"/>
    <col min="3" max="3" width="23.25" style="14" customWidth="1"/>
    <col min="4" max="4" width="19.25" style="14" customWidth="1"/>
    <col min="5" max="6" width="20.625" style="14" customWidth="1"/>
    <col min="7" max="7" width="19.25" style="14" customWidth="1"/>
    <col min="8" max="8" width="20.25" style="14" customWidth="1"/>
    <col min="9" max="9" width="19.75" style="14" customWidth="1"/>
    <col min="10" max="10" width="29" style="14" customWidth="1"/>
    <col min="11" max="11" width="16.75" style="14" customWidth="1"/>
    <col min="12" max="16384" width="11.25" style="14"/>
  </cols>
  <sheetData>
    <row r="1" spans="2:14">
      <c r="J1" s="12"/>
    </row>
    <row r="2" spans="2:14" ht="15.6" customHeight="1">
      <c r="B2" s="268" t="s">
        <v>126</v>
      </c>
      <c r="C2" s="269"/>
      <c r="D2" s="214" t="s">
        <v>42</v>
      </c>
      <c r="E2" s="217"/>
      <c r="G2" s="262" t="s">
        <v>124</v>
      </c>
      <c r="H2" s="263"/>
      <c r="I2" s="264"/>
      <c r="J2" s="216" t="s">
        <v>42</v>
      </c>
      <c r="K2" s="217"/>
    </row>
    <row r="3" spans="2:14" s="17" customFormat="1" ht="24.6" customHeight="1">
      <c r="B3" s="71" t="s">
        <v>36</v>
      </c>
      <c r="C3" s="73" t="s">
        <v>127</v>
      </c>
      <c r="D3" s="255" t="s">
        <v>106</v>
      </c>
      <c r="E3" s="220"/>
      <c r="F3" s="70"/>
      <c r="G3" s="66" t="s">
        <v>49</v>
      </c>
      <c r="H3" s="67" t="s">
        <v>50</v>
      </c>
      <c r="I3" s="35" t="s">
        <v>125</v>
      </c>
      <c r="J3" s="218" t="s">
        <v>173</v>
      </c>
      <c r="K3" s="219"/>
      <c r="L3" s="67"/>
      <c r="M3" s="67"/>
      <c r="N3" s="67"/>
    </row>
    <row r="4" spans="2:14" ht="15.6" customHeight="1">
      <c r="B4" s="100" t="s">
        <v>4</v>
      </c>
      <c r="C4" s="31">
        <v>3.15</v>
      </c>
      <c r="D4" s="255"/>
      <c r="E4" s="217"/>
      <c r="G4" s="251" t="s">
        <v>22</v>
      </c>
      <c r="H4" s="15" t="s">
        <v>51</v>
      </c>
      <c r="I4" s="112">
        <f>'A Quantités d''emballages'!J31</f>
        <v>0.76330840046029902</v>
      </c>
      <c r="J4" s="79"/>
      <c r="K4" s="78"/>
      <c r="L4" s="21"/>
      <c r="M4" s="20"/>
      <c r="N4" s="12"/>
    </row>
    <row r="5" spans="2:14" ht="15.6" customHeight="1">
      <c r="B5" s="100" t="s">
        <v>5</v>
      </c>
      <c r="C5" s="31">
        <v>9.2799999999999994</v>
      </c>
      <c r="D5" s="255"/>
      <c r="E5" s="217"/>
      <c r="G5" s="251"/>
      <c r="H5" s="15" t="s">
        <v>52</v>
      </c>
      <c r="I5" s="112">
        <f>'A Quantités d''emballages'!J32</f>
        <v>0.23669159953970081</v>
      </c>
      <c r="J5" s="79"/>
      <c r="K5" s="78"/>
      <c r="L5" s="21"/>
      <c r="M5" s="20"/>
      <c r="N5" s="12"/>
    </row>
    <row r="6" spans="2:14">
      <c r="B6" s="100" t="s">
        <v>35</v>
      </c>
      <c r="C6" s="31">
        <f>C7*(I11+I13)+C8*I12</f>
        <v>16.355749931072513</v>
      </c>
      <c r="D6" s="255"/>
      <c r="E6" s="217"/>
      <c r="G6" s="74"/>
      <c r="H6" s="15"/>
      <c r="I6" s="112"/>
      <c r="L6" s="21"/>
      <c r="M6" s="20"/>
      <c r="N6" s="12"/>
    </row>
    <row r="7" spans="2:14">
      <c r="B7" s="102" t="s">
        <v>37</v>
      </c>
      <c r="C7" s="103">
        <v>16.3</v>
      </c>
      <c r="D7" s="255"/>
      <c r="E7" s="217"/>
      <c r="G7" s="251" t="s">
        <v>23</v>
      </c>
      <c r="H7" s="15" t="s">
        <v>51</v>
      </c>
      <c r="I7" s="112">
        <f>'A Quantités d''emballages'!J34</f>
        <v>0.35056179775280899</v>
      </c>
      <c r="L7" s="21"/>
      <c r="M7" s="20"/>
      <c r="N7" s="12"/>
    </row>
    <row r="8" spans="2:14">
      <c r="B8" s="102" t="s">
        <v>38</v>
      </c>
      <c r="C8" s="103">
        <v>17.04</v>
      </c>
      <c r="D8" s="255"/>
      <c r="E8" s="217"/>
      <c r="G8" s="251"/>
      <c r="H8" s="15" t="s">
        <v>52</v>
      </c>
      <c r="I8" s="112">
        <f>'A Quantités d''emballages'!J35</f>
        <v>0.34603823143148987</v>
      </c>
      <c r="L8" s="21"/>
      <c r="M8" s="20"/>
      <c r="N8" s="12"/>
    </row>
    <row r="9" spans="2:14">
      <c r="B9" s="97" t="s">
        <v>39</v>
      </c>
      <c r="C9" s="96">
        <f>I15*C10+(I17+I16)*C11</f>
        <v>26.629478334603817</v>
      </c>
      <c r="D9" s="255"/>
      <c r="E9" s="217"/>
      <c r="G9" s="251"/>
      <c r="H9" s="15" t="s">
        <v>53</v>
      </c>
      <c r="I9" s="112">
        <f>'A Quantités d''emballages'!J36</f>
        <v>0.30339997081570114</v>
      </c>
    </row>
    <row r="10" spans="2:14">
      <c r="B10" s="102" t="s">
        <v>56</v>
      </c>
      <c r="C10" s="103">
        <v>24.3</v>
      </c>
      <c r="D10" s="255"/>
      <c r="E10" s="221"/>
      <c r="F10" s="29"/>
      <c r="G10" s="74"/>
      <c r="H10" s="15"/>
      <c r="I10" s="112"/>
    </row>
    <row r="11" spans="2:14">
      <c r="B11" s="102" t="s">
        <v>71</v>
      </c>
      <c r="C11" s="103">
        <v>28.06</v>
      </c>
      <c r="D11" s="255"/>
      <c r="E11" s="221"/>
      <c r="F11" s="29"/>
      <c r="G11" s="251" t="s">
        <v>55</v>
      </c>
      <c r="H11" s="15" t="s">
        <v>54</v>
      </c>
      <c r="I11" s="112">
        <f>'A Quantités d''emballages'!J38</f>
        <v>0.74201263566182918</v>
      </c>
    </row>
    <row r="12" spans="2:14">
      <c r="B12" s="97" t="s">
        <v>8</v>
      </c>
      <c r="C12" s="96">
        <v>1.21</v>
      </c>
      <c r="D12" s="255"/>
      <c r="E12" s="222"/>
      <c r="F12" s="22"/>
      <c r="G12" s="251"/>
      <c r="H12" s="15" t="s">
        <v>38</v>
      </c>
      <c r="I12" s="112">
        <f>'A Quantités d''emballages'!J39</f>
        <v>7.5337744692583405E-2</v>
      </c>
    </row>
    <row r="13" spans="2:14">
      <c r="B13" s="99" t="s">
        <v>40</v>
      </c>
      <c r="C13" s="98">
        <v>23.29</v>
      </c>
      <c r="D13" s="255"/>
      <c r="E13" s="222"/>
      <c r="F13" s="22"/>
      <c r="G13" s="74"/>
      <c r="H13" s="15" t="s">
        <v>69</v>
      </c>
      <c r="I13" s="112">
        <f>'A Quantités d''emballages'!J40</f>
        <v>0.1826496196455874</v>
      </c>
    </row>
    <row r="14" spans="2:14">
      <c r="B14" s="22"/>
      <c r="C14" s="28"/>
      <c r="E14" s="22"/>
      <c r="F14" s="22"/>
      <c r="G14" s="74"/>
      <c r="H14" s="15"/>
      <c r="I14" s="112"/>
    </row>
    <row r="15" spans="2:14">
      <c r="B15" s="22"/>
      <c r="C15" s="28"/>
      <c r="E15" s="22"/>
      <c r="F15" s="22"/>
      <c r="G15" s="251" t="s">
        <v>28</v>
      </c>
      <c r="H15" s="15" t="s">
        <v>56</v>
      </c>
      <c r="I15" s="112">
        <f>'A Quantités d''emballages'!J42</f>
        <v>0.38045788973302613</v>
      </c>
    </row>
    <row r="16" spans="2:14">
      <c r="B16" s="265" t="s">
        <v>194</v>
      </c>
      <c r="C16" s="266"/>
      <c r="D16" s="267"/>
      <c r="E16" s="215" t="s">
        <v>20</v>
      </c>
      <c r="F16" s="222"/>
      <c r="G16" s="251"/>
      <c r="H16" s="15" t="s">
        <v>57</v>
      </c>
      <c r="I16" s="112">
        <f>'A Quantités d''emballages'!J43</f>
        <v>0.37511207420794324</v>
      </c>
    </row>
    <row r="17" spans="1:13" ht="31.5">
      <c r="B17" s="71" t="s">
        <v>36</v>
      </c>
      <c r="C17" s="72" t="s">
        <v>76</v>
      </c>
      <c r="D17" s="73" t="s">
        <v>48</v>
      </c>
      <c r="E17" s="270" t="s">
        <v>101</v>
      </c>
      <c r="F17" s="223"/>
      <c r="G17" s="251"/>
      <c r="H17" s="80" t="s">
        <v>58</v>
      </c>
      <c r="I17" s="112">
        <f>'A Quantités d''emballages'!J44</f>
        <v>0.2444300360590306</v>
      </c>
    </row>
    <row r="18" spans="1:13" ht="18.600000000000001" customHeight="1">
      <c r="B18" s="101" t="s">
        <v>4</v>
      </c>
      <c r="C18" s="13">
        <v>20</v>
      </c>
      <c r="D18" s="32">
        <v>294</v>
      </c>
      <c r="E18" s="270"/>
      <c r="F18" s="224"/>
      <c r="G18" s="74"/>
      <c r="H18" s="15"/>
      <c r="I18" s="112"/>
    </row>
    <row r="19" spans="1:13">
      <c r="B19" s="101" t="s">
        <v>5</v>
      </c>
      <c r="C19" s="13">
        <v>21</v>
      </c>
      <c r="D19" s="32">
        <v>66</v>
      </c>
      <c r="E19" s="270"/>
      <c r="F19" s="224"/>
      <c r="G19" s="37" t="s">
        <v>24</v>
      </c>
      <c r="H19" s="38" t="s">
        <v>59</v>
      </c>
      <c r="I19" s="113">
        <f>'A Quantités d''emballages'!J46</f>
        <v>1</v>
      </c>
    </row>
    <row r="20" spans="1:13">
      <c r="B20" s="101" t="s">
        <v>35</v>
      </c>
      <c r="C20" s="13">
        <v>206</v>
      </c>
      <c r="D20" s="32">
        <v>1022</v>
      </c>
      <c r="E20" s="270"/>
      <c r="F20" s="224"/>
      <c r="G20" s="28"/>
    </row>
    <row r="21" spans="1:13">
      <c r="B21" s="101" t="s">
        <v>39</v>
      </c>
      <c r="C21" s="13">
        <v>378</v>
      </c>
      <c r="D21" s="32">
        <v>1089</v>
      </c>
      <c r="E21" s="270"/>
      <c r="F21" s="222"/>
      <c r="G21" s="28"/>
    </row>
    <row r="22" spans="1:13">
      <c r="B22" s="108" t="s">
        <v>8</v>
      </c>
      <c r="C22" s="33">
        <v>35</v>
      </c>
      <c r="D22" s="34">
        <v>2289</v>
      </c>
      <c r="E22" s="270"/>
      <c r="F22" s="222"/>
      <c r="G22" s="28"/>
    </row>
    <row r="23" spans="1:13">
      <c r="B23" s="109" t="s">
        <v>47</v>
      </c>
      <c r="C23" s="104">
        <f>SUM(C18:C22)</f>
        <v>660</v>
      </c>
      <c r="D23" s="105">
        <f>SUM(D18:D22)</f>
        <v>4760</v>
      </c>
      <c r="G23" s="28"/>
    </row>
    <row r="24" spans="1:13">
      <c r="B24" s="22"/>
      <c r="C24" s="28"/>
      <c r="D24" s="12"/>
      <c r="G24" s="28"/>
    </row>
    <row r="25" spans="1:13">
      <c r="B25" s="22"/>
      <c r="C25" s="28"/>
      <c r="D25" s="12"/>
      <c r="G25" s="28"/>
    </row>
    <row r="26" spans="1:13" ht="16.5" thickBot="1">
      <c r="B26" s="22"/>
      <c r="C26" s="28"/>
      <c r="E26" s="22"/>
      <c r="F26" s="22"/>
      <c r="G26" s="28"/>
    </row>
    <row r="27" spans="1:13" ht="22.15" customHeight="1" thickBot="1">
      <c r="B27" s="259" t="s">
        <v>208</v>
      </c>
      <c r="C27" s="260"/>
      <c r="D27" s="260"/>
      <c r="E27" s="261"/>
      <c r="F27" s="106"/>
      <c r="I27" s="274"/>
      <c r="J27" s="274"/>
      <c r="K27" s="274"/>
    </row>
    <row r="28" spans="1:13" ht="33" customHeight="1">
      <c r="A28" s="12"/>
      <c r="B28" s="164" t="s">
        <v>36</v>
      </c>
      <c r="C28" s="153" t="s">
        <v>127</v>
      </c>
      <c r="D28" s="153" t="s">
        <v>190</v>
      </c>
      <c r="E28" s="154" t="s">
        <v>193</v>
      </c>
      <c r="F28" s="67"/>
      <c r="G28" s="75"/>
      <c r="I28" s="67"/>
      <c r="J28" s="67"/>
      <c r="K28" s="67"/>
      <c r="L28" s="27"/>
      <c r="M28" s="70"/>
    </row>
    <row r="29" spans="1:13" ht="16.149999999999999" customHeight="1">
      <c r="A29" s="12"/>
      <c r="B29" s="165" t="s">
        <v>4</v>
      </c>
      <c r="C29" s="166">
        <f>10*C4</f>
        <v>31.5</v>
      </c>
      <c r="D29" s="167">
        <f>1000000*C18/(1000*D18)</f>
        <v>68.027210884353735</v>
      </c>
      <c r="E29" s="168">
        <f>D29-C29</f>
        <v>36.527210884353735</v>
      </c>
      <c r="F29" s="107"/>
      <c r="G29" s="67"/>
      <c r="I29" s="271"/>
      <c r="J29" s="80"/>
      <c r="K29" s="28"/>
      <c r="L29" s="272"/>
      <c r="M29" s="273"/>
    </row>
    <row r="30" spans="1:13" ht="15.6" customHeight="1">
      <c r="A30" s="12"/>
      <c r="B30" s="165" t="s">
        <v>5</v>
      </c>
      <c r="C30" s="166">
        <f>10*C5</f>
        <v>92.8</v>
      </c>
      <c r="D30" s="167">
        <f>1000000*C19/(1000*D19)</f>
        <v>318.18181818181819</v>
      </c>
      <c r="E30" s="168">
        <f t="shared" ref="E30:E33" si="0">D30-C30</f>
        <v>225.38181818181818</v>
      </c>
      <c r="F30" s="107"/>
      <c r="G30" s="30"/>
      <c r="I30" s="271"/>
      <c r="J30" s="80"/>
      <c r="K30" s="28"/>
      <c r="L30" s="272"/>
      <c r="M30" s="273"/>
    </row>
    <row r="31" spans="1:13">
      <c r="A31" s="12"/>
      <c r="B31" s="165" t="s">
        <v>35</v>
      </c>
      <c r="C31" s="166">
        <f>10*C6</f>
        <v>163.55749931072512</v>
      </c>
      <c r="D31" s="167">
        <f>1000000*C20/(1000*D20)</f>
        <v>201.5655577299413</v>
      </c>
      <c r="E31" s="168">
        <f t="shared" si="0"/>
        <v>38.008058419216184</v>
      </c>
      <c r="F31" s="107"/>
      <c r="G31" s="30"/>
      <c r="I31" s="80"/>
      <c r="J31" s="80"/>
      <c r="K31" s="28"/>
    </row>
    <row r="32" spans="1:13">
      <c r="A32" s="12"/>
      <c r="B32" s="165" t="s">
        <v>39</v>
      </c>
      <c r="C32" s="166">
        <f>10*C9</f>
        <v>266.29478334603817</v>
      </c>
      <c r="D32" s="167">
        <f>1000000*C21/(1000*D21)</f>
        <v>347.10743801652893</v>
      </c>
      <c r="E32" s="168">
        <f t="shared" si="0"/>
        <v>80.812654670490758</v>
      </c>
      <c r="F32" s="107"/>
      <c r="G32" s="30"/>
      <c r="I32" s="271"/>
      <c r="J32" s="80"/>
      <c r="K32" s="28"/>
    </row>
    <row r="33" spans="1:11" ht="16.5" thickBot="1">
      <c r="A33" s="12"/>
      <c r="B33" s="169" t="s">
        <v>8</v>
      </c>
      <c r="C33" s="170">
        <f>10*C12</f>
        <v>12.1</v>
      </c>
      <c r="D33" s="171">
        <f>1000000*C22/(1000*D22)</f>
        <v>15.290519877675841</v>
      </c>
      <c r="E33" s="172">
        <f t="shared" si="0"/>
        <v>3.1905198776758414</v>
      </c>
      <c r="F33" s="107"/>
      <c r="G33" s="20"/>
      <c r="I33" s="271"/>
      <c r="J33" s="80"/>
      <c r="K33" s="28"/>
    </row>
    <row r="34" spans="1:11">
      <c r="A34" s="12"/>
      <c r="G34" s="20"/>
      <c r="I34" s="271"/>
      <c r="J34" s="80"/>
      <c r="K34" s="28"/>
    </row>
    <row r="35" spans="1:11">
      <c r="A35" s="12"/>
      <c r="I35" s="80"/>
      <c r="J35" s="80"/>
      <c r="K35" s="28"/>
    </row>
    <row r="36" spans="1:11">
      <c r="A36" s="12"/>
      <c r="B36" s="77"/>
      <c r="C36" s="76"/>
      <c r="D36" s="12"/>
      <c r="E36" s="29"/>
      <c r="F36" s="29"/>
      <c r="G36" s="28"/>
      <c r="I36" s="271"/>
      <c r="J36" s="80"/>
      <c r="K36" s="28"/>
    </row>
    <row r="37" spans="1:11">
      <c r="A37" s="12"/>
      <c r="B37" s="65"/>
      <c r="C37" s="76"/>
      <c r="D37" s="12"/>
      <c r="E37" s="22"/>
      <c r="F37" s="22"/>
      <c r="G37" s="28"/>
      <c r="I37" s="271"/>
      <c r="J37" s="80"/>
      <c r="K37" s="28"/>
    </row>
    <row r="38" spans="1:11">
      <c r="A38" s="12"/>
      <c r="B38" s="65"/>
      <c r="C38" s="76"/>
      <c r="D38" s="12"/>
      <c r="E38" s="22"/>
      <c r="F38" s="22"/>
      <c r="G38" s="28"/>
      <c r="I38" s="80"/>
      <c r="J38" s="80"/>
      <c r="K38" s="28"/>
    </row>
    <row r="39" spans="1:11">
      <c r="I39" s="80"/>
      <c r="J39" s="80"/>
      <c r="K39" s="28"/>
    </row>
    <row r="40" spans="1:11">
      <c r="I40" s="80"/>
      <c r="J40" s="80"/>
      <c r="K40" s="28"/>
    </row>
    <row r="41" spans="1:11">
      <c r="G41" s="12"/>
      <c r="I41" s="80"/>
      <c r="J41" s="80"/>
      <c r="K41" s="28"/>
    </row>
    <row r="42" spans="1:11" ht="27.6" customHeight="1">
      <c r="G42" s="12"/>
      <c r="I42" s="80"/>
      <c r="J42" s="80"/>
      <c r="K42" s="28"/>
    </row>
    <row r="43" spans="1:11">
      <c r="I43" s="80"/>
      <c r="J43" s="80"/>
      <c r="K43" s="28"/>
    </row>
    <row r="44" spans="1:11">
      <c r="I44" s="80"/>
      <c r="J44" s="80"/>
      <c r="K44" s="28"/>
    </row>
    <row r="46" spans="1:11">
      <c r="H46" s="12"/>
    </row>
  </sheetData>
  <mergeCells count="15">
    <mergeCell ref="I36:I37"/>
    <mergeCell ref="L29:M30"/>
    <mergeCell ref="I27:K27"/>
    <mergeCell ref="I29:I30"/>
    <mergeCell ref="I32:I34"/>
    <mergeCell ref="B27:E27"/>
    <mergeCell ref="G2:I2"/>
    <mergeCell ref="G4:G5"/>
    <mergeCell ref="G7:G9"/>
    <mergeCell ref="G11:G12"/>
    <mergeCell ref="B16:D16"/>
    <mergeCell ref="B2:C2"/>
    <mergeCell ref="G15:G17"/>
    <mergeCell ref="D3:D13"/>
    <mergeCell ref="E17:E22"/>
  </mergeCells>
  <hyperlinks>
    <hyperlink ref="D3" r:id="rId1"/>
    <hyperlink ref="E17" r:id="rId2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62"/>
  <sheetViews>
    <sheetView zoomScale="85" zoomScaleNormal="85" workbookViewId="0">
      <selection activeCell="C67" sqref="C67"/>
    </sheetView>
  </sheetViews>
  <sheetFormatPr baseColWidth="10" defaultColWidth="11.25" defaultRowHeight="15.75"/>
  <cols>
    <col min="1" max="2" width="11.25" style="26"/>
    <col min="3" max="3" width="27.25" style="26" customWidth="1"/>
    <col min="4" max="4" width="23.625" style="26" customWidth="1"/>
    <col min="5" max="6" width="17.75" style="26" customWidth="1"/>
    <col min="7" max="7" width="18.625" style="26" customWidth="1"/>
    <col min="8" max="8" width="16.75" style="26" customWidth="1"/>
    <col min="9" max="9" width="17.75" style="26" customWidth="1"/>
    <col min="10" max="10" width="32.25" style="26" customWidth="1"/>
    <col min="11" max="11" width="28.125" style="26" customWidth="1"/>
    <col min="12" max="12" width="24.125" style="26" customWidth="1"/>
    <col min="13" max="13" width="13.75" style="26" customWidth="1"/>
    <col min="14" max="14" width="14.625" style="26" customWidth="1"/>
    <col min="15" max="15" width="8.75" style="26" customWidth="1"/>
    <col min="16" max="16" width="30.25" style="26" customWidth="1"/>
    <col min="17" max="17" width="24.25" style="26" customWidth="1"/>
    <col min="18" max="18" width="21.25" style="26" customWidth="1"/>
    <col min="19" max="19" width="21.25" style="135" customWidth="1"/>
    <col min="20" max="20" width="17.875" style="135" customWidth="1"/>
    <col min="21" max="25" width="11.25" style="135"/>
    <col min="26" max="16384" width="11.25" style="26"/>
  </cols>
  <sheetData>
    <row r="1" spans="3:25">
      <c r="R1" s="135"/>
      <c r="Y1" s="26"/>
    </row>
    <row r="2" spans="3:25">
      <c r="R2" s="135"/>
      <c r="Y2" s="26"/>
    </row>
    <row r="3" spans="3:25">
      <c r="R3" s="135"/>
      <c r="Y3" s="26"/>
    </row>
    <row r="4" spans="3:25" ht="16.149999999999999" customHeight="1">
      <c r="C4" s="265" t="s">
        <v>201</v>
      </c>
      <c r="D4" s="266"/>
      <c r="E4" s="266"/>
      <c r="F4" s="267"/>
      <c r="J4" s="90"/>
      <c r="K4" s="90"/>
      <c r="L4" s="90"/>
      <c r="M4" s="90"/>
      <c r="N4" s="90"/>
      <c r="O4" s="90"/>
      <c r="P4" s="90"/>
      <c r="Q4" s="90"/>
      <c r="R4" s="135"/>
      <c r="Y4" s="90"/>
    </row>
    <row r="5" spans="3:25" ht="40.9" customHeight="1">
      <c r="C5" s="275" t="s">
        <v>128</v>
      </c>
      <c r="D5" s="291"/>
      <c r="E5" s="83" t="s">
        <v>129</v>
      </c>
      <c r="F5" s="84" t="s">
        <v>130</v>
      </c>
      <c r="G5" s="293" t="s">
        <v>25</v>
      </c>
      <c r="H5" s="294"/>
      <c r="I5" s="27"/>
      <c r="J5" s="265" t="s">
        <v>138</v>
      </c>
      <c r="K5" s="266"/>
      <c r="L5" s="267"/>
      <c r="M5" s="296" t="s">
        <v>20</v>
      </c>
      <c r="N5" s="297"/>
      <c r="O5" s="90"/>
      <c r="P5" s="140"/>
      <c r="Q5" s="83"/>
      <c r="R5" s="83" t="s">
        <v>129</v>
      </c>
      <c r="S5" s="84" t="s">
        <v>135</v>
      </c>
      <c r="Y5" s="90"/>
    </row>
    <row r="6" spans="3:25" ht="28.9" customHeight="1">
      <c r="C6" s="285" t="s">
        <v>0</v>
      </c>
      <c r="D6" s="90" t="s">
        <v>1</v>
      </c>
      <c r="E6" s="90">
        <v>150</v>
      </c>
      <c r="F6" s="130">
        <f>E6</f>
        <v>150</v>
      </c>
      <c r="G6" s="255" t="s">
        <v>99</v>
      </c>
      <c r="H6" s="286"/>
      <c r="I6" s="27"/>
      <c r="J6" s="36" t="s">
        <v>131</v>
      </c>
      <c r="K6" s="90">
        <v>298</v>
      </c>
      <c r="L6" s="32"/>
      <c r="M6" s="214" t="s">
        <v>178</v>
      </c>
      <c r="N6" s="337" t="s">
        <v>72</v>
      </c>
      <c r="O6" s="81"/>
      <c r="P6" s="85" t="s">
        <v>13</v>
      </c>
      <c r="Q6" s="24" t="s">
        <v>14</v>
      </c>
      <c r="R6" s="13">
        <f>E6+E11</f>
        <v>238</v>
      </c>
      <c r="S6" s="130">
        <f>F6+F11</f>
        <v>221</v>
      </c>
      <c r="Y6" s="63"/>
    </row>
    <row r="7" spans="3:25" ht="31.9" customHeight="1">
      <c r="C7" s="285"/>
      <c r="D7" s="90" t="s">
        <v>2</v>
      </c>
      <c r="E7" s="90">
        <v>87</v>
      </c>
      <c r="F7" s="130">
        <f>E7</f>
        <v>87</v>
      </c>
      <c r="G7" s="255"/>
      <c r="H7" s="286"/>
      <c r="I7" s="27"/>
      <c r="J7" s="36" t="s">
        <v>81</v>
      </c>
      <c r="K7" s="124">
        <v>0.17</v>
      </c>
      <c r="L7" s="32"/>
      <c r="N7" s="337"/>
      <c r="P7" s="85"/>
      <c r="Q7" s="24"/>
      <c r="R7" s="13"/>
      <c r="S7" s="130"/>
      <c r="Y7" s="63"/>
    </row>
    <row r="8" spans="3:25" ht="30.6" customHeight="1">
      <c r="C8" s="285"/>
      <c r="D8" s="90" t="s">
        <v>79</v>
      </c>
      <c r="E8" s="13">
        <f>K26</f>
        <v>216.73924526445265</v>
      </c>
      <c r="F8" s="130">
        <f>E8</f>
        <v>216.73924526445265</v>
      </c>
      <c r="G8" s="270" t="s">
        <v>174</v>
      </c>
      <c r="H8" s="287"/>
      <c r="I8" s="27"/>
      <c r="J8" s="36" t="s">
        <v>82</v>
      </c>
      <c r="K8" s="13">
        <f>K6/(1-K7)</f>
        <v>359.03614457831327</v>
      </c>
      <c r="L8" s="32"/>
      <c r="M8" s="214"/>
      <c r="N8" s="337"/>
      <c r="O8" s="27"/>
      <c r="P8" s="85" t="s">
        <v>15</v>
      </c>
      <c r="Q8" s="24" t="s">
        <v>16</v>
      </c>
      <c r="R8" s="13">
        <f>E6+E13</f>
        <v>250</v>
      </c>
      <c r="S8" s="130">
        <f>F6+F13</f>
        <v>246</v>
      </c>
      <c r="Y8" s="63"/>
    </row>
    <row r="9" spans="3:25" ht="31.9" customHeight="1">
      <c r="C9" s="285"/>
      <c r="D9" s="90" t="s">
        <v>80</v>
      </c>
      <c r="E9" s="13">
        <f>K25</f>
        <v>546.08897088970878</v>
      </c>
      <c r="F9" s="130">
        <f>E9</f>
        <v>546.08897088970878</v>
      </c>
      <c r="G9" s="270"/>
      <c r="H9" s="287"/>
      <c r="I9" s="27"/>
      <c r="J9" s="36"/>
      <c r="K9" s="125" t="s">
        <v>175</v>
      </c>
      <c r="L9" s="126" t="s">
        <v>176</v>
      </c>
      <c r="M9" s="214"/>
      <c r="N9" s="337"/>
      <c r="O9" s="27"/>
      <c r="P9" s="85"/>
      <c r="Q9" s="24"/>
      <c r="R9" s="13"/>
      <c r="S9" s="130"/>
      <c r="Y9" s="63"/>
    </row>
    <row r="10" spans="3:25" ht="31.5">
      <c r="C10" s="36"/>
      <c r="D10" s="90"/>
      <c r="E10" s="90"/>
      <c r="F10" s="130"/>
      <c r="G10" s="230"/>
      <c r="H10" s="231"/>
      <c r="I10" s="27"/>
      <c r="J10" s="36" t="s">
        <v>83</v>
      </c>
      <c r="K10" s="64">
        <v>0.76</v>
      </c>
      <c r="L10" s="129">
        <v>0.24</v>
      </c>
      <c r="M10" s="242"/>
      <c r="N10" s="337"/>
      <c r="O10" s="27"/>
      <c r="P10" s="285" t="s">
        <v>95</v>
      </c>
      <c r="Q10" s="90" t="s">
        <v>6</v>
      </c>
      <c r="R10" s="13">
        <f>E8+E11</f>
        <v>304.73924526445262</v>
      </c>
      <c r="S10" s="130">
        <f>F8+F11</f>
        <v>287.73924526445262</v>
      </c>
      <c r="Y10" s="63"/>
    </row>
    <row r="11" spans="3:25" ht="15.6" customHeight="1">
      <c r="C11" s="285" t="s">
        <v>3</v>
      </c>
      <c r="D11" s="292"/>
      <c r="E11" s="13">
        <v>88</v>
      </c>
      <c r="F11" s="130">
        <f>E11-D29</f>
        <v>71</v>
      </c>
      <c r="G11" s="232" t="s">
        <v>77</v>
      </c>
      <c r="H11" s="286" t="s">
        <v>134</v>
      </c>
      <c r="I11" s="81"/>
      <c r="J11" s="36" t="s">
        <v>180</v>
      </c>
      <c r="K11" s="90">
        <v>204</v>
      </c>
      <c r="L11" s="32">
        <v>167</v>
      </c>
      <c r="M11" s="214" t="s">
        <v>179</v>
      </c>
      <c r="N11" s="337"/>
      <c r="O11" s="27"/>
      <c r="P11" s="285"/>
      <c r="Q11" s="90" t="s">
        <v>96</v>
      </c>
      <c r="R11" s="13">
        <f>E11+E9</f>
        <v>634.08897088970878</v>
      </c>
      <c r="S11" s="130">
        <f>F11+F9</f>
        <v>617.08897088970878</v>
      </c>
      <c r="Y11" s="63"/>
    </row>
    <row r="12" spans="3:25">
      <c r="C12" s="36"/>
      <c r="D12" s="90"/>
      <c r="E12" s="90"/>
      <c r="F12" s="130"/>
      <c r="G12" s="230"/>
      <c r="H12" s="286"/>
      <c r="I12" s="81"/>
      <c r="J12" s="36" t="s">
        <v>181</v>
      </c>
      <c r="K12" s="90">
        <v>359</v>
      </c>
      <c r="L12" s="32">
        <v>353</v>
      </c>
      <c r="M12" s="214" t="s">
        <v>183</v>
      </c>
      <c r="N12" s="337"/>
      <c r="O12" s="27"/>
      <c r="P12" s="85"/>
      <c r="Q12" s="24"/>
      <c r="R12" s="13"/>
      <c r="S12" s="130"/>
      <c r="Y12" s="27"/>
    </row>
    <row r="13" spans="3:25" ht="31.15" customHeight="1">
      <c r="C13" s="285" t="s">
        <v>78</v>
      </c>
      <c r="D13" s="292"/>
      <c r="E13" s="13">
        <v>100</v>
      </c>
      <c r="F13" s="130">
        <f>E13-D30</f>
        <v>96</v>
      </c>
      <c r="G13" s="232" t="s">
        <v>77</v>
      </c>
      <c r="H13" s="286"/>
      <c r="I13" s="27"/>
      <c r="J13" s="36" t="s">
        <v>182</v>
      </c>
      <c r="K13" s="90">
        <v>182</v>
      </c>
      <c r="L13" s="32">
        <v>100</v>
      </c>
      <c r="M13" s="214" t="s">
        <v>183</v>
      </c>
      <c r="N13" s="337"/>
      <c r="O13" s="27"/>
      <c r="P13" s="285" t="s">
        <v>17</v>
      </c>
      <c r="Q13" s="90" t="s">
        <v>4</v>
      </c>
      <c r="R13" s="13">
        <f>$E$9 + E16 -E18</f>
        <v>643.08897088970878</v>
      </c>
      <c r="S13" s="130">
        <f>$E$9 + F16 -F18</f>
        <v>643.08897088970878</v>
      </c>
      <c r="Y13" s="27"/>
    </row>
    <row r="14" spans="3:25">
      <c r="C14" s="85"/>
      <c r="D14" s="86"/>
      <c r="E14" s="13"/>
      <c r="F14" s="130"/>
      <c r="G14" s="232"/>
      <c r="H14" s="286"/>
      <c r="I14" s="27"/>
      <c r="J14" s="36"/>
      <c r="K14" s="90"/>
      <c r="L14" s="32"/>
      <c r="M14" s="214"/>
      <c r="N14" s="337"/>
      <c r="O14" s="27"/>
      <c r="P14" s="285"/>
      <c r="Q14" s="90" t="s">
        <v>5</v>
      </c>
      <c r="R14" s="13">
        <f>$E$9 + E16 -E19</f>
        <v>310.08897088970878</v>
      </c>
      <c r="S14" s="130">
        <f>$E$9 + F16 -F19</f>
        <v>310.08897088970878</v>
      </c>
      <c r="Y14" s="27"/>
    </row>
    <row r="15" spans="3:25" ht="60.6" customHeight="1">
      <c r="C15" s="285" t="s">
        <v>91</v>
      </c>
      <c r="D15" s="90" t="s">
        <v>92</v>
      </c>
      <c r="E15" s="90">
        <v>38</v>
      </c>
      <c r="F15" s="32">
        <v>38</v>
      </c>
      <c r="G15" s="288" t="s">
        <v>133</v>
      </c>
      <c r="H15" s="286"/>
      <c r="I15" s="27"/>
      <c r="J15" s="36" t="s">
        <v>84</v>
      </c>
      <c r="K15" s="127">
        <f>K8/(K10*K11+L10*L11)*(K12*K10+L12*L10)</f>
        <v>657.93851914422748</v>
      </c>
      <c r="L15" s="130"/>
      <c r="M15" s="214"/>
      <c r="N15" s="337"/>
      <c r="O15" s="27"/>
      <c r="P15" s="285"/>
      <c r="Q15" s="90" t="s">
        <v>6</v>
      </c>
      <c r="R15" s="13">
        <f>$E$8 + E15 -E20</f>
        <v>178.73924526445265</v>
      </c>
      <c r="S15" s="130">
        <f>$E$8 + F15 -F20</f>
        <v>178.73924526445265</v>
      </c>
      <c r="Y15" s="27"/>
    </row>
    <row r="16" spans="3:25">
      <c r="C16" s="285"/>
      <c r="D16" s="90" t="s">
        <v>21</v>
      </c>
      <c r="E16" s="90">
        <v>231</v>
      </c>
      <c r="F16" s="32">
        <v>231</v>
      </c>
      <c r="G16" s="288"/>
      <c r="H16" s="286"/>
      <c r="I16" s="27"/>
      <c r="J16" s="36" t="s">
        <v>85</v>
      </c>
      <c r="K16" s="243">
        <f>K8/(K10*K11+L10*L11)*(K13*K10+L13*L10)</f>
        <v>298.68156512890431</v>
      </c>
      <c r="L16" s="130"/>
      <c r="M16" s="214"/>
      <c r="N16" s="337"/>
      <c r="O16" s="27"/>
      <c r="P16" s="285"/>
      <c r="Q16" s="90" t="s">
        <v>7</v>
      </c>
      <c r="R16" s="13">
        <f>$E$9 + E16 -E21</f>
        <v>521.08897088970878</v>
      </c>
      <c r="S16" s="130">
        <f>$E$9 + F16 -F21</f>
        <v>521.08897088970878</v>
      </c>
      <c r="Y16" s="27"/>
    </row>
    <row r="17" spans="3:25">
      <c r="C17" s="36"/>
      <c r="D17" s="90"/>
      <c r="E17" s="90"/>
      <c r="F17" s="32"/>
      <c r="G17" s="230"/>
      <c r="H17" s="231"/>
      <c r="I17" s="63"/>
      <c r="J17" s="36"/>
      <c r="K17" s="90"/>
      <c r="L17" s="32"/>
      <c r="M17" s="214"/>
      <c r="N17" s="337"/>
      <c r="O17" s="27"/>
      <c r="P17" s="285"/>
      <c r="Q17" s="90" t="s">
        <v>8</v>
      </c>
      <c r="R17" s="13">
        <f>$E$7- E22</f>
        <v>65</v>
      </c>
      <c r="S17" s="130">
        <f>$E$7- F22</f>
        <v>65</v>
      </c>
      <c r="Y17" s="27"/>
    </row>
    <row r="18" spans="3:25">
      <c r="C18" s="285" t="s">
        <v>12</v>
      </c>
      <c r="D18" s="90" t="s">
        <v>4</v>
      </c>
      <c r="E18" s="90">
        <v>134</v>
      </c>
      <c r="F18" s="130">
        <f>E18</f>
        <v>134</v>
      </c>
      <c r="G18" s="255" t="s">
        <v>101</v>
      </c>
      <c r="H18" s="286"/>
      <c r="I18" s="63"/>
      <c r="J18" s="36" t="s">
        <v>86</v>
      </c>
      <c r="K18" s="124">
        <v>0.22</v>
      </c>
      <c r="L18" s="32"/>
      <c r="M18" s="242"/>
      <c r="N18" s="337"/>
      <c r="O18" s="27"/>
      <c r="P18" s="85"/>
      <c r="Q18" s="24"/>
      <c r="R18" s="13"/>
      <c r="S18" s="130"/>
      <c r="Y18" s="27"/>
    </row>
    <row r="19" spans="3:25">
      <c r="C19" s="285"/>
      <c r="D19" s="90" t="s">
        <v>5</v>
      </c>
      <c r="E19" s="90">
        <v>467</v>
      </c>
      <c r="F19" s="130">
        <f>E19</f>
        <v>467</v>
      </c>
      <c r="G19" s="255"/>
      <c r="H19" s="286"/>
      <c r="I19" s="63"/>
      <c r="J19" s="36" t="s">
        <v>87</v>
      </c>
      <c r="K19" s="90">
        <v>128</v>
      </c>
      <c r="L19" s="32"/>
      <c r="M19" s="214" t="s">
        <v>184</v>
      </c>
      <c r="N19" s="337"/>
      <c r="O19" s="27"/>
      <c r="P19" s="285" t="s">
        <v>18</v>
      </c>
      <c r="Q19" s="90" t="s">
        <v>10</v>
      </c>
      <c r="R19" s="13">
        <f>R8-E24</f>
        <v>193</v>
      </c>
      <c r="S19" s="130">
        <f>S8-F24</f>
        <v>189</v>
      </c>
      <c r="Y19" s="27"/>
    </row>
    <row r="20" spans="3:25">
      <c r="C20" s="285"/>
      <c r="D20" s="90" t="s">
        <v>6</v>
      </c>
      <c r="E20" s="90">
        <v>76</v>
      </c>
      <c r="F20" s="130">
        <f>E20</f>
        <v>76</v>
      </c>
      <c r="G20" s="255"/>
      <c r="H20" s="286"/>
      <c r="I20" s="134"/>
      <c r="J20" s="36"/>
      <c r="K20" s="90"/>
      <c r="L20" s="32"/>
      <c r="N20" s="337"/>
      <c r="O20" s="27"/>
      <c r="P20" s="283"/>
      <c r="Q20" s="132" t="s">
        <v>11</v>
      </c>
      <c r="R20" s="33">
        <f>R8-E25</f>
        <v>-387</v>
      </c>
      <c r="S20" s="139">
        <f>S8-F25</f>
        <v>-391</v>
      </c>
      <c r="Y20" s="27"/>
    </row>
    <row r="21" spans="3:25" ht="31.5">
      <c r="C21" s="285"/>
      <c r="D21" s="90" t="s">
        <v>7</v>
      </c>
      <c r="E21" s="90">
        <v>256</v>
      </c>
      <c r="F21" s="130">
        <f>E21</f>
        <v>256</v>
      </c>
      <c r="G21" s="255"/>
      <c r="H21" s="286"/>
      <c r="I21" s="63"/>
      <c r="J21" s="131" t="s">
        <v>88</v>
      </c>
      <c r="K21" s="128">
        <f>K19*K18+K16*(1-K18)</f>
        <v>261.13162080054536</v>
      </c>
      <c r="L21" s="34"/>
      <c r="N21" s="337"/>
      <c r="O21" s="27"/>
      <c r="P21" s="27"/>
      <c r="R21" s="135"/>
      <c r="Y21" s="27"/>
    </row>
    <row r="22" spans="3:25">
      <c r="C22" s="285"/>
      <c r="D22" s="90" t="s">
        <v>8</v>
      </c>
      <c r="E22" s="90">
        <v>22</v>
      </c>
      <c r="F22" s="130">
        <f>E22</f>
        <v>22</v>
      </c>
      <c r="G22" s="255"/>
      <c r="H22" s="286"/>
      <c r="I22" s="63"/>
      <c r="J22" s="295" t="s">
        <v>132</v>
      </c>
      <c r="K22" s="295"/>
      <c r="L22" s="295"/>
      <c r="M22" s="214"/>
      <c r="N22" s="214"/>
      <c r="O22" s="27"/>
      <c r="P22" s="27"/>
      <c r="R22" s="135"/>
      <c r="Y22" s="27"/>
    </row>
    <row r="23" spans="3:25" ht="23.45" customHeight="1">
      <c r="C23" s="36"/>
      <c r="D23" s="90"/>
      <c r="E23" s="90"/>
      <c r="F23" s="130"/>
      <c r="G23" s="255"/>
      <c r="H23" s="286"/>
      <c r="I23" s="63"/>
      <c r="J23" s="301" t="s">
        <v>177</v>
      </c>
      <c r="K23" s="301"/>
      <c r="L23" s="301"/>
      <c r="M23" s="27"/>
      <c r="N23" s="27"/>
      <c r="O23" s="27"/>
      <c r="P23" s="27"/>
      <c r="R23" s="135"/>
      <c r="Y23" s="27"/>
    </row>
    <row r="24" spans="3:25">
      <c r="C24" s="285" t="s">
        <v>9</v>
      </c>
      <c r="D24" s="90" t="s">
        <v>10</v>
      </c>
      <c r="E24" s="90">
        <v>57</v>
      </c>
      <c r="F24" s="130">
        <f>E24</f>
        <v>57</v>
      </c>
      <c r="G24" s="255"/>
      <c r="H24" s="286"/>
      <c r="I24" s="63"/>
      <c r="O24" s="27"/>
      <c r="P24" s="27"/>
      <c r="R24" s="135"/>
      <c r="Y24" s="27"/>
    </row>
    <row r="25" spans="3:25" ht="31.5">
      <c r="C25" s="283"/>
      <c r="D25" s="132" t="s">
        <v>11</v>
      </c>
      <c r="E25" s="132">
        <v>637</v>
      </c>
      <c r="F25" s="139">
        <f>E25</f>
        <v>637</v>
      </c>
      <c r="G25" s="289"/>
      <c r="H25" s="290"/>
      <c r="I25" s="27"/>
      <c r="J25" s="82" t="s">
        <v>90</v>
      </c>
      <c r="K25" s="47">
        <f>K15*(1-K7)</f>
        <v>546.08897088970878</v>
      </c>
      <c r="R25" s="135"/>
      <c r="Y25" s="26"/>
    </row>
    <row r="26" spans="3:25">
      <c r="C26" s="90"/>
      <c r="D26" s="90"/>
      <c r="E26" s="90"/>
      <c r="F26" s="90"/>
      <c r="G26" s="229"/>
      <c r="H26" s="229"/>
      <c r="I26" s="27"/>
      <c r="J26" s="88" t="s">
        <v>185</v>
      </c>
      <c r="K26" s="48">
        <f>K21*(1-K7)</f>
        <v>216.73924526445265</v>
      </c>
      <c r="P26" s="90"/>
      <c r="Q26" s="90"/>
      <c r="R26" s="151"/>
      <c r="S26" s="151"/>
      <c r="T26" s="151"/>
      <c r="Y26" s="26"/>
    </row>
    <row r="27" spans="3:25">
      <c r="C27" s="265" t="s">
        <v>44</v>
      </c>
      <c r="D27" s="267"/>
      <c r="E27" s="136"/>
      <c r="F27" s="136"/>
      <c r="G27" s="229"/>
      <c r="H27" s="229"/>
      <c r="I27" s="27"/>
      <c r="P27" s="90"/>
      <c r="Q27" s="90"/>
      <c r="R27" s="151"/>
      <c r="S27" s="151"/>
      <c r="T27" s="151"/>
      <c r="Y27" s="26"/>
    </row>
    <row r="28" spans="3:25">
      <c r="C28" s="85"/>
      <c r="D28" s="35"/>
      <c r="E28" s="299" t="s">
        <v>25</v>
      </c>
      <c r="F28" s="300"/>
      <c r="G28" s="214"/>
      <c r="H28" s="214"/>
      <c r="I28" s="27"/>
      <c r="P28" s="90"/>
      <c r="Q28" s="90"/>
      <c r="R28" s="151"/>
      <c r="S28" s="151"/>
      <c r="T28" s="151"/>
      <c r="Y28" s="26"/>
    </row>
    <row r="29" spans="3:25" ht="15.6" customHeight="1">
      <c r="C29" s="36" t="s">
        <v>45</v>
      </c>
      <c r="D29" s="32">
        <v>17</v>
      </c>
      <c r="E29" s="255" t="s">
        <v>100</v>
      </c>
      <c r="F29" s="298"/>
      <c r="G29" s="233"/>
      <c r="H29" s="214"/>
      <c r="I29" s="27"/>
      <c r="P29" s="90"/>
      <c r="Q29" s="90"/>
      <c r="R29" s="151"/>
      <c r="S29" s="151"/>
      <c r="T29" s="151"/>
      <c r="Y29" s="26"/>
    </row>
    <row r="30" spans="3:25" ht="25.9" customHeight="1">
      <c r="C30" s="131" t="s">
        <v>111</v>
      </c>
      <c r="D30" s="34">
        <v>4</v>
      </c>
      <c r="E30" s="255"/>
      <c r="F30" s="298"/>
      <c r="G30" s="233"/>
      <c r="H30" s="214"/>
      <c r="I30" s="137"/>
      <c r="P30" s="90"/>
      <c r="Q30" s="90"/>
      <c r="R30" s="151"/>
      <c r="S30" s="151"/>
      <c r="T30" s="151"/>
      <c r="Y30" s="26"/>
    </row>
    <row r="31" spans="3:25" ht="34.9" customHeight="1">
      <c r="C31" s="90"/>
      <c r="D31" s="90"/>
      <c r="E31" s="123"/>
      <c r="F31" s="123"/>
      <c r="G31" s="81"/>
      <c r="H31" s="27"/>
      <c r="I31" s="27"/>
      <c r="P31" s="90"/>
      <c r="Q31" s="86"/>
      <c r="R31" s="86"/>
      <c r="S31" s="86"/>
      <c r="T31" s="151"/>
      <c r="Y31" s="26"/>
    </row>
    <row r="32" spans="3:25" ht="18" customHeight="1">
      <c r="C32" s="265" t="s">
        <v>139</v>
      </c>
      <c r="D32" s="266"/>
      <c r="E32" s="266"/>
      <c r="F32" s="266"/>
      <c r="G32" s="267"/>
      <c r="H32" s="27"/>
      <c r="I32" s="27"/>
      <c r="P32" s="90"/>
      <c r="Q32" s="13"/>
      <c r="R32" s="90"/>
      <c r="S32" s="13"/>
      <c r="T32" s="151"/>
      <c r="Y32" s="26"/>
    </row>
    <row r="33" spans="3:25" ht="48.6" customHeight="1">
      <c r="C33" s="82" t="s">
        <v>19</v>
      </c>
      <c r="D33" s="83" t="s">
        <v>48</v>
      </c>
      <c r="E33" s="83" t="s">
        <v>30</v>
      </c>
      <c r="F33" s="83" t="s">
        <v>31</v>
      </c>
      <c r="G33" s="84" t="s">
        <v>15</v>
      </c>
      <c r="H33" s="215" t="s">
        <v>25</v>
      </c>
      <c r="I33" s="27"/>
      <c r="J33" s="275" t="s">
        <v>105</v>
      </c>
      <c r="K33" s="276"/>
      <c r="L33" s="214"/>
      <c r="P33" s="90"/>
      <c r="Q33" s="13"/>
      <c r="R33" s="90"/>
      <c r="S33" s="13"/>
      <c r="T33" s="151"/>
      <c r="Y33" s="26"/>
    </row>
    <row r="34" spans="3:25" ht="22.15" customHeight="1">
      <c r="C34" s="36" t="s">
        <v>4</v>
      </c>
      <c r="D34" s="90">
        <v>294</v>
      </c>
      <c r="E34" s="90">
        <v>100</v>
      </c>
      <c r="F34" s="90">
        <v>217</v>
      </c>
      <c r="G34" s="32">
        <v>0</v>
      </c>
      <c r="H34" s="270" t="s">
        <v>101</v>
      </c>
      <c r="J34" s="36" t="s">
        <v>104</v>
      </c>
      <c r="K34" s="32" t="s">
        <v>46</v>
      </c>
      <c r="L34" s="234" t="s">
        <v>25</v>
      </c>
      <c r="P34" s="90"/>
      <c r="Q34" s="13"/>
      <c r="R34" s="90"/>
      <c r="S34" s="13"/>
      <c r="T34" s="151"/>
      <c r="U34" s="151"/>
      <c r="Y34" s="26"/>
    </row>
    <row r="35" spans="3:25" ht="18" customHeight="1">
      <c r="C35" s="36" t="s">
        <v>5</v>
      </c>
      <c r="D35" s="90">
        <v>66</v>
      </c>
      <c r="E35" s="90">
        <v>7</v>
      </c>
      <c r="F35" s="90">
        <v>17</v>
      </c>
      <c r="G35" s="32">
        <v>32</v>
      </c>
      <c r="H35" s="270"/>
      <c r="I35" s="27"/>
      <c r="J35" s="36" t="s">
        <v>4</v>
      </c>
      <c r="K35" s="32">
        <v>0.45</v>
      </c>
      <c r="L35" s="255" t="s">
        <v>103</v>
      </c>
      <c r="P35" s="90"/>
      <c r="Q35" s="13"/>
      <c r="R35" s="90"/>
      <c r="S35" s="13"/>
      <c r="T35" s="151"/>
      <c r="U35" s="151"/>
      <c r="Y35" s="26"/>
    </row>
    <row r="36" spans="3:25" ht="18" customHeight="1">
      <c r="C36" s="36" t="s">
        <v>6</v>
      </c>
      <c r="D36" s="90">
        <v>1022</v>
      </c>
      <c r="E36" s="90">
        <v>656</v>
      </c>
      <c r="F36" s="90">
        <v>0</v>
      </c>
      <c r="G36" s="32">
        <v>200</v>
      </c>
      <c r="H36" s="270"/>
      <c r="I36" s="30"/>
      <c r="J36" s="131" t="s">
        <v>5</v>
      </c>
      <c r="K36" s="34">
        <v>0.55000000000000004</v>
      </c>
      <c r="L36" s="255"/>
      <c r="P36" s="90"/>
      <c r="Q36" s="13"/>
      <c r="R36" s="90"/>
      <c r="S36" s="13"/>
      <c r="T36" s="151"/>
      <c r="U36" s="151"/>
      <c r="Y36" s="26"/>
    </row>
    <row r="37" spans="3:25" ht="18" customHeight="1">
      <c r="C37" s="36" t="s">
        <v>7</v>
      </c>
      <c r="D37" s="90">
        <v>1089</v>
      </c>
      <c r="E37" s="90">
        <v>257</v>
      </c>
      <c r="F37" s="90">
        <v>0</v>
      </c>
      <c r="G37" s="32">
        <v>500</v>
      </c>
      <c r="H37" s="270"/>
      <c r="I37" s="30"/>
      <c r="K37" s="90"/>
      <c r="L37" s="119"/>
      <c r="P37" s="16"/>
      <c r="Q37" s="13"/>
      <c r="R37" s="90"/>
      <c r="S37" s="13"/>
      <c r="T37" s="151"/>
      <c r="U37" s="151"/>
      <c r="Y37" s="26"/>
    </row>
    <row r="38" spans="3:25" ht="18" customHeight="1">
      <c r="C38" s="131" t="s">
        <v>8</v>
      </c>
      <c r="D38" s="132">
        <v>2289</v>
      </c>
      <c r="E38" s="132">
        <v>1951</v>
      </c>
      <c r="F38" s="132">
        <v>0</v>
      </c>
      <c r="G38" s="34">
        <v>0</v>
      </c>
      <c r="H38" s="270"/>
      <c r="I38" s="30"/>
      <c r="P38" s="90"/>
      <c r="Q38" s="86"/>
      <c r="R38" s="86"/>
      <c r="S38" s="86"/>
      <c r="T38" s="151"/>
      <c r="U38" s="151"/>
      <c r="Y38" s="26"/>
    </row>
    <row r="39" spans="3:25" ht="18" customHeight="1">
      <c r="D39" s="82">
        <f>SUM(D34:D38)</f>
        <v>4760</v>
      </c>
      <c r="E39" s="84">
        <f>SUM(E34:E38)</f>
        <v>2971</v>
      </c>
      <c r="P39" s="90"/>
      <c r="Q39" s="13"/>
      <c r="R39" s="90"/>
      <c r="S39" s="13"/>
      <c r="T39" s="151"/>
      <c r="U39" s="151"/>
      <c r="Y39" s="26"/>
    </row>
    <row r="40" spans="3:25" ht="31.15" customHeight="1">
      <c r="C40" s="16"/>
      <c r="D40" s="283" t="s">
        <v>102</v>
      </c>
      <c r="E40" s="284"/>
      <c r="G40" s="87" t="s">
        <v>93</v>
      </c>
      <c r="H40" s="133">
        <v>0.17</v>
      </c>
      <c r="P40" s="90"/>
      <c r="Q40" s="13"/>
      <c r="R40" s="90"/>
      <c r="S40" s="13"/>
      <c r="T40" s="151"/>
      <c r="U40" s="151"/>
      <c r="Y40" s="26"/>
    </row>
    <row r="41" spans="3:25" ht="31.15" customHeight="1">
      <c r="C41" s="16"/>
      <c r="D41" s="86"/>
      <c r="E41" s="86"/>
      <c r="G41" s="86"/>
      <c r="H41" s="138"/>
      <c r="P41" s="90"/>
      <c r="Q41" s="13"/>
      <c r="R41" s="90"/>
      <c r="S41" s="13"/>
      <c r="T41" s="151"/>
      <c r="U41" s="151"/>
      <c r="Y41" s="26"/>
    </row>
    <row r="42" spans="3:25" ht="34.15" customHeight="1">
      <c r="C42" s="280" t="s">
        <v>140</v>
      </c>
      <c r="D42" s="281"/>
      <c r="E42" s="281"/>
      <c r="F42" s="281"/>
      <c r="G42" s="281"/>
      <c r="H42" s="282"/>
      <c r="I42" s="148"/>
      <c r="J42" s="148"/>
      <c r="P42" s="90"/>
      <c r="Q42" s="13"/>
      <c r="R42" s="90"/>
      <c r="S42" s="13"/>
      <c r="T42" s="151"/>
      <c r="U42" s="151"/>
      <c r="Y42" s="26"/>
    </row>
    <row r="43" spans="3:25" ht="29.45" customHeight="1">
      <c r="C43" s="141"/>
      <c r="D43" s="83" t="s">
        <v>32</v>
      </c>
      <c r="E43" s="83" t="s">
        <v>33</v>
      </c>
      <c r="F43" s="142" t="s">
        <v>43</v>
      </c>
      <c r="G43" s="83" t="s">
        <v>94</v>
      </c>
      <c r="H43" s="142" t="s">
        <v>34</v>
      </c>
      <c r="I43" s="82" t="s">
        <v>136</v>
      </c>
      <c r="J43" s="143" t="s">
        <v>137</v>
      </c>
      <c r="P43" s="90"/>
      <c r="Q43" s="13"/>
      <c r="R43" s="90"/>
      <c r="S43" s="13"/>
      <c r="T43" s="151"/>
      <c r="U43" s="151"/>
      <c r="Y43" s="26"/>
    </row>
    <row r="44" spans="3:25" ht="18" customHeight="1">
      <c r="C44" s="36" t="s">
        <v>4</v>
      </c>
      <c r="D44" s="64">
        <f>(1-$H$40)*E34/$D34</f>
        <v>0.28231292517006801</v>
      </c>
      <c r="E44" s="64">
        <f>(1-K35)*F34/$D34</f>
        <v>0.40595238095238101</v>
      </c>
      <c r="F44" s="64">
        <f>G34/D34</f>
        <v>0</v>
      </c>
      <c r="G44" s="64">
        <f>$H$40*E34/D34</f>
        <v>5.7823129251700682E-2</v>
      </c>
      <c r="H44" s="64">
        <f>1-(D44+E44+F44+G44)</f>
        <v>0.25391156462585029</v>
      </c>
      <c r="I44" s="145">
        <f>H44*D34</f>
        <v>74.649999999999991</v>
      </c>
      <c r="J44" s="31">
        <f>I44+F34</f>
        <v>291.64999999999998</v>
      </c>
      <c r="P44" s="16"/>
      <c r="Q44" s="13"/>
      <c r="R44" s="90"/>
      <c r="S44" s="13"/>
      <c r="T44" s="151"/>
      <c r="U44" s="151"/>
    </row>
    <row r="45" spans="3:25" ht="18.600000000000001" customHeight="1">
      <c r="C45" s="36" t="s">
        <v>5</v>
      </c>
      <c r="D45" s="64">
        <f>(1-$H$40)*E35/$D35</f>
        <v>8.8030303030303028E-2</v>
      </c>
      <c r="E45" s="64">
        <f>(1-K36)*F35/$D35</f>
        <v>0.11590909090909091</v>
      </c>
      <c r="F45" s="64">
        <f>G35/D35</f>
        <v>0.48484848484848486</v>
      </c>
      <c r="G45" s="64">
        <f>$H$40*E35/D35</f>
        <v>1.8030303030303032E-2</v>
      </c>
      <c r="H45" s="64">
        <f>1-(D45+E45+F45+G45)</f>
        <v>0.29318181818181821</v>
      </c>
      <c r="I45" s="145">
        <f>H45*D35</f>
        <v>19.350000000000001</v>
      </c>
      <c r="J45" s="31">
        <f>I45+F35</f>
        <v>36.35</v>
      </c>
      <c r="O45" s="135"/>
      <c r="P45" s="151"/>
      <c r="Q45" s="151"/>
      <c r="R45" s="151"/>
      <c r="S45" s="151"/>
      <c r="T45" s="151"/>
      <c r="U45" s="90"/>
      <c r="V45" s="26"/>
      <c r="W45" s="26"/>
      <c r="X45" s="26"/>
      <c r="Y45" s="26"/>
    </row>
    <row r="46" spans="3:25">
      <c r="C46" s="36" t="s">
        <v>6</v>
      </c>
      <c r="D46" s="64">
        <f>(1-$H$40)*E36/$D36</f>
        <v>0.53275929549902157</v>
      </c>
      <c r="E46" s="64">
        <f>(1-K38)*F36/$D36</f>
        <v>0</v>
      </c>
      <c r="F46" s="64">
        <f>G36/D36</f>
        <v>0.19569471624266144</v>
      </c>
      <c r="G46" s="64">
        <f>$H$40*E36/D36</f>
        <v>0.10911937377690803</v>
      </c>
      <c r="H46" s="64">
        <f>1-(D46+E46+F46+G46)</f>
        <v>0.16242661448140894</v>
      </c>
      <c r="I46" s="145">
        <f>H46*D36</f>
        <v>165.99999999999994</v>
      </c>
      <c r="J46" s="31">
        <f>I46+F36</f>
        <v>165.99999999999994</v>
      </c>
      <c r="O46" s="135"/>
      <c r="P46" s="151"/>
      <c r="Q46" s="151"/>
      <c r="R46" s="151"/>
      <c r="S46" s="151"/>
      <c r="T46" s="151"/>
      <c r="U46" s="90"/>
      <c r="V46" s="26"/>
      <c r="W46" s="26"/>
      <c r="X46" s="26"/>
      <c r="Y46" s="26"/>
    </row>
    <row r="47" spans="3:25">
      <c r="C47" s="36" t="s">
        <v>7</v>
      </c>
      <c r="D47" s="64">
        <f>(1-$H$40)*E37/$D37</f>
        <v>0.1958769513314968</v>
      </c>
      <c r="E47" s="64">
        <f>(1-K39)*F37/$D37</f>
        <v>0</v>
      </c>
      <c r="F47" s="64">
        <f>G37/D37</f>
        <v>0.4591368227731864</v>
      </c>
      <c r="G47" s="64">
        <f>$H$40*E37/D37</f>
        <v>4.0119375573921034E-2</v>
      </c>
      <c r="H47" s="64">
        <f>1-(D47+E47+F47+G47)</f>
        <v>0.30486685032139582</v>
      </c>
      <c r="I47" s="145">
        <f>H47*D37</f>
        <v>332.00000000000006</v>
      </c>
      <c r="J47" s="31">
        <f>I47+F37</f>
        <v>332.00000000000006</v>
      </c>
      <c r="M47" s="16"/>
      <c r="N47" s="16"/>
      <c r="O47" s="135"/>
      <c r="P47" s="151"/>
      <c r="Q47" s="151"/>
      <c r="R47" s="151"/>
      <c r="S47" s="151"/>
      <c r="T47" s="151"/>
      <c r="U47" s="90"/>
      <c r="V47" s="26"/>
      <c r="W47" s="26"/>
      <c r="X47" s="26"/>
      <c r="Y47" s="26"/>
    </row>
    <row r="48" spans="3:25">
      <c r="C48" s="131" t="s">
        <v>8</v>
      </c>
      <c r="D48" s="144">
        <f>E38/$D38</f>
        <v>0.85233726518130193</v>
      </c>
      <c r="E48" s="144">
        <f>(1-L42)*F38/$D38</f>
        <v>0</v>
      </c>
      <c r="F48" s="144">
        <f>G38/D38</f>
        <v>0</v>
      </c>
      <c r="G48" s="144">
        <v>0</v>
      </c>
      <c r="H48" s="144">
        <f>1-(D48+E48+F48+G48)</f>
        <v>0.14766273481869807</v>
      </c>
      <c r="I48" s="149">
        <f>H48*D38</f>
        <v>337.99999999999989</v>
      </c>
      <c r="J48" s="150">
        <f>I48+F38</f>
        <v>337.99999999999989</v>
      </c>
      <c r="O48" s="135"/>
      <c r="P48" s="151"/>
      <c r="Q48" s="151"/>
      <c r="R48" s="151"/>
      <c r="S48" s="151"/>
      <c r="T48" s="151"/>
      <c r="U48" s="90"/>
      <c r="V48" s="26"/>
      <c r="W48" s="26"/>
      <c r="X48" s="26"/>
      <c r="Y48" s="26"/>
    </row>
    <row r="49" spans="3:25">
      <c r="I49" s="146">
        <f>SUM(I44:I48)</f>
        <v>929.99999999999989</v>
      </c>
      <c r="J49" s="147">
        <f>SUM(J44:J48)</f>
        <v>1164</v>
      </c>
      <c r="O49" s="135"/>
      <c r="P49" s="151"/>
      <c r="Q49" s="151"/>
      <c r="R49" s="151"/>
      <c r="S49" s="151"/>
      <c r="T49" s="151"/>
      <c r="U49" s="90"/>
      <c r="V49" s="26"/>
      <c r="W49" s="26"/>
      <c r="X49" s="26"/>
      <c r="Y49" s="26"/>
    </row>
    <row r="50" spans="3:25">
      <c r="I50" s="88" t="s">
        <v>102</v>
      </c>
      <c r="J50" s="89"/>
      <c r="O50" s="135"/>
      <c r="P50" s="151"/>
      <c r="Q50" s="151"/>
      <c r="R50" s="151"/>
      <c r="S50" s="151"/>
      <c r="T50" s="151"/>
      <c r="U50" s="90"/>
      <c r="V50" s="26"/>
      <c r="W50" s="26"/>
      <c r="X50" s="26"/>
      <c r="Y50" s="26"/>
    </row>
    <row r="51" spans="3:25">
      <c r="I51" s="86"/>
      <c r="J51" s="86"/>
      <c r="O51" s="135"/>
      <c r="P51" s="151"/>
      <c r="Q51" s="151"/>
      <c r="R51" s="151"/>
      <c r="S51" s="151"/>
      <c r="T51" s="151"/>
      <c r="U51" s="90"/>
      <c r="V51" s="26"/>
      <c r="W51" s="26"/>
      <c r="X51" s="26"/>
      <c r="Y51" s="26"/>
    </row>
    <row r="52" spans="3:25" ht="16.5" thickBot="1">
      <c r="O52" s="135"/>
      <c r="P52" s="135"/>
      <c r="Q52" s="135"/>
      <c r="R52" s="135"/>
      <c r="U52" s="26"/>
      <c r="V52" s="26"/>
      <c r="W52" s="26"/>
      <c r="X52" s="26"/>
      <c r="Y52" s="26"/>
    </row>
    <row r="53" spans="3:25" ht="50.45" customHeight="1" thickBot="1">
      <c r="C53" s="277" t="s">
        <v>192</v>
      </c>
      <c r="D53" s="279"/>
      <c r="E53" s="211"/>
      <c r="F53" s="135"/>
      <c r="G53" s="277" t="s">
        <v>191</v>
      </c>
      <c r="H53" s="278"/>
      <c r="I53" s="278"/>
      <c r="J53" s="279"/>
      <c r="S53" s="26"/>
      <c r="T53" s="26"/>
      <c r="U53" s="26"/>
      <c r="V53" s="26"/>
      <c r="W53" s="26"/>
      <c r="X53" s="26"/>
      <c r="Y53" s="26"/>
    </row>
    <row r="54" spans="3:25" ht="46.15" customHeight="1">
      <c r="C54" s="155"/>
      <c r="D54" s="185" t="s">
        <v>29</v>
      </c>
      <c r="E54" s="16"/>
      <c r="F54" s="135"/>
      <c r="G54" s="152"/>
      <c r="H54" s="153" t="s">
        <v>29</v>
      </c>
      <c r="I54" s="153" t="s">
        <v>48</v>
      </c>
      <c r="J54" s="154" t="s">
        <v>161</v>
      </c>
      <c r="S54" s="26"/>
      <c r="T54" s="26"/>
      <c r="U54" s="26"/>
      <c r="V54" s="26"/>
      <c r="W54" s="26"/>
      <c r="X54" s="26"/>
      <c r="Y54" s="26"/>
    </row>
    <row r="55" spans="3:25">
      <c r="C55" s="155" t="s">
        <v>4</v>
      </c>
      <c r="D55" s="158">
        <f>D44*R13+E44*R19+F44*$R$8+G44*R11+H44*$R$6</f>
        <v>356.9970989420778</v>
      </c>
      <c r="E55" s="208"/>
      <c r="F55" s="135"/>
      <c r="G55" s="155" t="s">
        <v>4</v>
      </c>
      <c r="H55" s="156">
        <f>D44*S13+E44*S19+F44*$S$8+G44*S11+H44*$S$6</f>
        <v>350.0737996223499</v>
      </c>
      <c r="I55" s="157">
        <v>294</v>
      </c>
      <c r="J55" s="158">
        <f>H55*I55*10^-3</f>
        <v>102.92169708897087</v>
      </c>
      <c r="S55" s="26"/>
      <c r="T55" s="26"/>
      <c r="U55" s="26"/>
      <c r="V55" s="26"/>
      <c r="W55" s="26"/>
      <c r="X55" s="26"/>
      <c r="Y55" s="26"/>
    </row>
    <row r="56" spans="3:25">
      <c r="C56" s="155" t="s">
        <v>5</v>
      </c>
      <c r="D56" s="158">
        <f>D45*R14+E45*R20+F45*$R$8+G45*R11+H45*$R$6</f>
        <v>184.86261812466608</v>
      </c>
      <c r="E56" s="208"/>
      <c r="F56" s="135"/>
      <c r="G56" s="155" t="s">
        <v>5</v>
      </c>
      <c r="H56" s="156">
        <f>D45*S14+E45*S20+F45*$S$8+G45*S11+H45*$S$6</f>
        <v>177.16898176102973</v>
      </c>
      <c r="I56" s="157">
        <v>66</v>
      </c>
      <c r="J56" s="158">
        <f>H56*I56*10^-3</f>
        <v>11.693152796227961</v>
      </c>
      <c r="S56" s="26"/>
      <c r="T56" s="26"/>
      <c r="U56" s="26"/>
      <c r="V56" s="26"/>
      <c r="W56" s="26"/>
      <c r="X56" s="26"/>
      <c r="Y56" s="26"/>
    </row>
    <row r="57" spans="3:25">
      <c r="C57" s="155" t="s">
        <v>6</v>
      </c>
      <c r="D57" s="158">
        <f>D46*R15+E46*R21+F46*$R$8+G46*R10+H46*$R$6</f>
        <v>216.05916330086197</v>
      </c>
      <c r="E57" s="208"/>
      <c r="F57" s="135"/>
      <c r="G57" s="155" t="s">
        <v>6</v>
      </c>
      <c r="H57" s="156">
        <f>D46*S15+E46*S21+F46*$S$8+G46*S10+H46*$S$6</f>
        <v>210.66010263549992</v>
      </c>
      <c r="I57" s="157">
        <v>1022</v>
      </c>
      <c r="J57" s="158">
        <f>H57*I57*10^-3</f>
        <v>215.29462489348091</v>
      </c>
      <c r="S57" s="26"/>
      <c r="T57" s="26"/>
      <c r="U57" s="26"/>
      <c r="V57" s="26"/>
      <c r="W57" s="26"/>
      <c r="X57" s="26"/>
      <c r="Y57" s="26"/>
    </row>
    <row r="58" spans="3:25">
      <c r="C58" s="155" t="s">
        <v>7</v>
      </c>
      <c r="D58" s="158">
        <f>D47*R16+E47*R22+F47*$R$8+G47*R11+H47*$R$6</f>
        <v>314.85108863053733</v>
      </c>
      <c r="E58" s="208"/>
      <c r="F58" s="135"/>
      <c r="G58" s="155" t="s">
        <v>7</v>
      </c>
      <c r="H58" s="156">
        <f>D47*S16+E47*S22+F47*$S$8+G47*S11+H47*$S$6</f>
        <v>307.14977549922423</v>
      </c>
      <c r="I58" s="157">
        <v>1089</v>
      </c>
      <c r="J58" s="158">
        <f>H58*I58*10^-3</f>
        <v>334.48610551865522</v>
      </c>
      <c r="S58" s="26"/>
      <c r="T58" s="26"/>
      <c r="U58" s="26"/>
      <c r="V58" s="26"/>
      <c r="W58" s="26"/>
      <c r="X58" s="26"/>
      <c r="Y58" s="26"/>
    </row>
    <row r="59" spans="3:25" ht="16.5" thickBot="1">
      <c r="C59" s="155" t="s">
        <v>8</v>
      </c>
      <c r="D59" s="158">
        <f>D48*R17+E48+F48*$R$8+G48+H48*$R$6</f>
        <v>90.545653123634764</v>
      </c>
      <c r="E59" s="208"/>
      <c r="G59" s="155" t="s">
        <v>8</v>
      </c>
      <c r="H59" s="156">
        <f>D48*S17+E48*S23+F48*$S$8+G48+H48*$S$6</f>
        <v>88.035386631716904</v>
      </c>
      <c r="I59" s="157">
        <v>2289</v>
      </c>
      <c r="J59" s="158">
        <f>H59*I59*10^-3</f>
        <v>201.51300000000001</v>
      </c>
      <c r="K59" s="135"/>
      <c r="L59" s="135"/>
      <c r="M59" s="135"/>
      <c r="N59" s="135"/>
      <c r="O59" s="135"/>
      <c r="S59" s="26"/>
      <c r="T59" s="26"/>
      <c r="U59" s="26"/>
      <c r="V59" s="26"/>
      <c r="W59" s="26"/>
      <c r="X59" s="26"/>
      <c r="Y59" s="26"/>
    </row>
    <row r="60" spans="3:25" ht="16.5" thickBot="1">
      <c r="C60" s="204" t="s">
        <v>41</v>
      </c>
      <c r="D60" s="160">
        <f>AVERAGE(D55:D59)</f>
        <v>232.6631244243556</v>
      </c>
      <c r="E60" s="208"/>
      <c r="G60" s="161" t="s">
        <v>202</v>
      </c>
      <c r="H60" s="162">
        <f>AVERAGE(H55:H59)</f>
        <v>226.61760922996413</v>
      </c>
      <c r="I60" s="163">
        <f>SUM(I55:I59)</f>
        <v>4760</v>
      </c>
      <c r="J60" s="338">
        <f>SUM(J55:J59)</f>
        <v>865.90858029733499</v>
      </c>
      <c r="K60" s="135"/>
      <c r="L60" s="135"/>
      <c r="M60" s="135"/>
      <c r="N60" s="135"/>
      <c r="O60" s="135"/>
      <c r="S60" s="26"/>
      <c r="T60" s="26"/>
      <c r="U60" s="26"/>
      <c r="V60" s="26"/>
      <c r="W60" s="26"/>
      <c r="X60" s="26"/>
      <c r="Y60" s="26"/>
    </row>
    <row r="61" spans="3:25" ht="16.5" thickBot="1">
      <c r="C61" s="204" t="s">
        <v>203</v>
      </c>
      <c r="D61" s="160">
        <f>(D55*I55+D56*I56+D57*I57+D58*I58+D59*I59)/1000</f>
        <v>888.10238029733489</v>
      </c>
      <c r="R61" s="135"/>
      <c r="Y61" s="26"/>
    </row>
    <row r="62" spans="3:25">
      <c r="R62" s="135"/>
      <c r="Y62" s="26"/>
    </row>
  </sheetData>
  <mergeCells count="33">
    <mergeCell ref="M5:N5"/>
    <mergeCell ref="E29:F30"/>
    <mergeCell ref="E28:F28"/>
    <mergeCell ref="J23:L23"/>
    <mergeCell ref="N6:N21"/>
    <mergeCell ref="C6:C9"/>
    <mergeCell ref="C11:D11"/>
    <mergeCell ref="C13:D13"/>
    <mergeCell ref="C15:C16"/>
    <mergeCell ref="G5:H5"/>
    <mergeCell ref="H11:H16"/>
    <mergeCell ref="P10:P11"/>
    <mergeCell ref="P13:P17"/>
    <mergeCell ref="P19:P20"/>
    <mergeCell ref="G15:G16"/>
    <mergeCell ref="G18:H25"/>
    <mergeCell ref="J22:L22"/>
    <mergeCell ref="L35:L36"/>
    <mergeCell ref="J33:K33"/>
    <mergeCell ref="G53:J53"/>
    <mergeCell ref="C53:D53"/>
    <mergeCell ref="C4:F4"/>
    <mergeCell ref="H34:H38"/>
    <mergeCell ref="J5:L5"/>
    <mergeCell ref="C32:G32"/>
    <mergeCell ref="C42:H42"/>
    <mergeCell ref="D40:E40"/>
    <mergeCell ref="C27:D27"/>
    <mergeCell ref="C18:C22"/>
    <mergeCell ref="C24:C25"/>
    <mergeCell ref="G6:H7"/>
    <mergeCell ref="G8:H9"/>
    <mergeCell ref="C5:D5"/>
  </mergeCells>
  <hyperlinks>
    <hyperlink ref="G6" r:id="rId1"/>
    <hyperlink ref="E29" r:id="rId2"/>
    <hyperlink ref="H11" r:id="rId3" display="https://www.ademe.fr/sites/default/files/assets/documents/referentiel-couts-spgd-2014-032017-rapport.pdf"/>
    <hyperlink ref="N6" r:id="rId4"/>
    <hyperlink ref="H11:I12" r:id="rId5" display="&gt;Referentiel dfes coûts SPDG 2014"/>
    <hyperlink ref="G18:H25" r:id="rId6" display="Tableau de bord des déchets d'emballage ménager 2014"/>
    <hyperlink ref="H34" r:id="rId7"/>
    <hyperlink ref="L35" r:id="rId8"/>
  </hyperlinks>
  <pageMargins left="0.7" right="0.7" top="0.75" bottom="0.75" header="0.3" footer="0.3"/>
  <pageSetup paperSize="9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8"/>
  <sheetViews>
    <sheetView topLeftCell="B1" zoomScale="115" zoomScaleNormal="115" workbookViewId="0">
      <selection activeCell="B27" sqref="B27"/>
    </sheetView>
  </sheetViews>
  <sheetFormatPr baseColWidth="10" defaultColWidth="11.25" defaultRowHeight="15.75"/>
  <cols>
    <col min="1" max="1" width="11.25" style="50"/>
    <col min="2" max="2" width="45.75" style="50" customWidth="1"/>
    <col min="3" max="3" width="32.75" style="50" customWidth="1"/>
    <col min="4" max="4" width="20.375" style="50" customWidth="1"/>
    <col min="5" max="5" width="19.25" style="50" customWidth="1"/>
    <col min="6" max="6" width="22.25" style="50" customWidth="1"/>
    <col min="7" max="7" width="21.875" style="50" customWidth="1"/>
    <col min="8" max="8" width="21.375" style="50" customWidth="1"/>
    <col min="9" max="9" width="22.125" style="50" customWidth="1"/>
    <col min="10" max="10" width="17.625" style="50" customWidth="1"/>
    <col min="11" max="16384" width="11.25" style="50"/>
  </cols>
  <sheetData>
    <row r="2" spans="2:7">
      <c r="B2" s="7"/>
      <c r="C2" s="7"/>
      <c r="D2" s="52"/>
    </row>
    <row r="3" spans="2:7">
      <c r="B3" s="313" t="s">
        <v>158</v>
      </c>
      <c r="C3" s="314"/>
      <c r="D3" s="314"/>
      <c r="E3" s="314"/>
      <c r="F3" s="315"/>
      <c r="G3" s="3"/>
    </row>
    <row r="4" spans="2:7" s="3" customFormat="1" ht="31.5">
      <c r="B4" s="44" t="s">
        <v>159</v>
      </c>
      <c r="C4" s="45" t="s">
        <v>19</v>
      </c>
      <c r="D4" s="46" t="s">
        <v>74</v>
      </c>
      <c r="E4" s="46" t="s">
        <v>60</v>
      </c>
      <c r="F4" s="45" t="s">
        <v>61</v>
      </c>
      <c r="G4" s="239" t="s">
        <v>25</v>
      </c>
    </row>
    <row r="5" spans="2:7" s="3" customFormat="1">
      <c r="B5" s="305"/>
      <c r="C5" s="306"/>
      <c r="D5" s="95" t="s">
        <v>89</v>
      </c>
      <c r="E5" s="95" t="s">
        <v>62</v>
      </c>
      <c r="F5" s="94" t="s">
        <v>63</v>
      </c>
      <c r="G5" s="235"/>
    </row>
    <row r="6" spans="2:7" ht="47.25">
      <c r="B6" s="310" t="s">
        <v>22</v>
      </c>
      <c r="C6" s="53" t="s">
        <v>143</v>
      </c>
      <c r="D6" s="52">
        <v>50</v>
      </c>
      <c r="E6" s="52">
        <v>5000</v>
      </c>
      <c r="F6" s="51">
        <v>437.5</v>
      </c>
      <c r="G6" s="236" t="s">
        <v>156</v>
      </c>
    </row>
    <row r="7" spans="2:7" ht="18">
      <c r="B7" s="310"/>
      <c r="C7" s="53" t="s">
        <v>145</v>
      </c>
      <c r="D7" s="52">
        <v>138.71794871794873</v>
      </c>
      <c r="E7" s="52">
        <v>4160.2564102564102</v>
      </c>
      <c r="F7" s="51">
        <v>20.512820512820515</v>
      </c>
      <c r="G7" s="236" t="s">
        <v>108</v>
      </c>
    </row>
    <row r="8" spans="2:7">
      <c r="B8" s="92"/>
      <c r="C8" s="53"/>
      <c r="D8" s="52"/>
      <c r="E8" s="52"/>
      <c r="F8" s="51"/>
      <c r="G8" s="237"/>
    </row>
    <row r="9" spans="2:7">
      <c r="B9" s="310" t="s">
        <v>23</v>
      </c>
      <c r="C9" s="174" t="s">
        <v>51</v>
      </c>
      <c r="D9" s="52"/>
      <c r="E9" s="52"/>
      <c r="F9" s="51"/>
      <c r="G9" s="236"/>
    </row>
    <row r="10" spans="2:7" ht="18">
      <c r="B10" s="310"/>
      <c r="C10" s="53" t="s">
        <v>144</v>
      </c>
      <c r="D10" s="52">
        <v>123.95833333333333</v>
      </c>
      <c r="E10" s="52">
        <v>8239.5833333333339</v>
      </c>
      <c r="F10" s="51">
        <v>48.645833333333336</v>
      </c>
      <c r="G10" s="236" t="s">
        <v>108</v>
      </c>
    </row>
    <row r="11" spans="2:7">
      <c r="B11" s="310"/>
      <c r="C11" s="174" t="s">
        <v>53</v>
      </c>
      <c r="D11" s="52"/>
      <c r="E11" s="52"/>
      <c r="F11" s="51"/>
      <c r="G11" s="237"/>
    </row>
    <row r="12" spans="2:7">
      <c r="B12" s="92"/>
      <c r="C12" s="53"/>
      <c r="D12" s="52"/>
      <c r="E12" s="52"/>
      <c r="F12" s="51"/>
      <c r="G12" s="237"/>
    </row>
    <row r="13" spans="2:7" ht="18">
      <c r="B13" s="310" t="s">
        <v>55</v>
      </c>
      <c r="C13" s="53" t="s">
        <v>146</v>
      </c>
      <c r="D13" s="52">
        <v>0.5</v>
      </c>
      <c r="E13" s="52">
        <v>1184</v>
      </c>
      <c r="F13" s="51">
        <v>5</v>
      </c>
      <c r="G13" s="236" t="s">
        <v>108</v>
      </c>
    </row>
    <row r="14" spans="2:7" ht="18">
      <c r="B14" s="310"/>
      <c r="C14" s="53" t="s">
        <v>147</v>
      </c>
      <c r="D14" s="52">
        <v>2.1264367816091956</v>
      </c>
      <c r="E14" s="52">
        <v>3632.1839080459772</v>
      </c>
      <c r="F14" s="51">
        <v>13.160919540229886</v>
      </c>
      <c r="G14" s="236" t="s">
        <v>108</v>
      </c>
    </row>
    <row r="15" spans="2:7" ht="31.5">
      <c r="B15" s="310"/>
      <c r="C15" s="53" t="s">
        <v>148</v>
      </c>
      <c r="D15" s="60">
        <v>9.7826086956521743E-2</v>
      </c>
      <c r="E15" s="60">
        <v>869.56521739130437</v>
      </c>
      <c r="F15" s="175">
        <v>108.69565217391305</v>
      </c>
      <c r="G15" s="236" t="s">
        <v>157</v>
      </c>
    </row>
    <row r="16" spans="2:7">
      <c r="B16" s="92"/>
      <c r="C16" s="53"/>
      <c r="D16" s="52"/>
      <c r="E16" s="52"/>
      <c r="F16" s="51"/>
      <c r="G16" s="237"/>
    </row>
    <row r="17" spans="2:10" ht="18">
      <c r="B17" s="310" t="s">
        <v>28</v>
      </c>
      <c r="C17" s="53" t="s">
        <v>149</v>
      </c>
      <c r="D17" s="52">
        <v>1.5656565656565657</v>
      </c>
      <c r="E17" s="52">
        <v>3205.8080808080808</v>
      </c>
      <c r="F17" s="51">
        <v>9.2424242424242422</v>
      </c>
      <c r="G17" s="236" t="s">
        <v>108</v>
      </c>
    </row>
    <row r="18" spans="2:10" ht="18">
      <c r="B18" s="310"/>
      <c r="C18" s="53" t="s">
        <v>150</v>
      </c>
      <c r="D18" s="52">
        <v>1.0775862068965518</v>
      </c>
      <c r="E18" s="52">
        <v>4932.9741379310344</v>
      </c>
      <c r="F18" s="51">
        <v>10.991379310344827</v>
      </c>
      <c r="G18" s="236" t="s">
        <v>108</v>
      </c>
    </row>
    <row r="19" spans="2:10" ht="18">
      <c r="B19" s="310"/>
      <c r="C19" s="53" t="s">
        <v>151</v>
      </c>
      <c r="D19" s="52">
        <v>0</v>
      </c>
      <c r="E19" s="52">
        <v>3626.9230769230767</v>
      </c>
      <c r="F19" s="51">
        <v>3.8461538461538458</v>
      </c>
      <c r="G19" s="236" t="s">
        <v>108</v>
      </c>
    </row>
    <row r="20" spans="2:10">
      <c r="B20" s="92"/>
      <c r="C20" s="53"/>
      <c r="D20" s="52"/>
      <c r="E20" s="52"/>
      <c r="F20" s="51"/>
      <c r="G20" s="237"/>
    </row>
    <row r="21" spans="2:10" ht="18">
      <c r="B21" s="58" t="s">
        <v>24</v>
      </c>
      <c r="C21" s="57" t="s">
        <v>152</v>
      </c>
      <c r="D21" s="61">
        <v>0.13333333333333333</v>
      </c>
      <c r="E21" s="61">
        <v>677.77777777777783</v>
      </c>
      <c r="F21" s="59">
        <v>20.2</v>
      </c>
      <c r="G21" s="238" t="s">
        <v>108</v>
      </c>
    </row>
    <row r="22" spans="2:10" ht="19.149999999999999" customHeight="1">
      <c r="B22" s="316" t="s">
        <v>142</v>
      </c>
      <c r="C22" s="316"/>
      <c r="D22" s="316"/>
      <c r="E22" s="316"/>
      <c r="F22" s="316"/>
      <c r="G22" s="6"/>
    </row>
    <row r="23" spans="2:10" ht="27" customHeight="1">
      <c r="B23" s="317"/>
      <c r="C23" s="317"/>
      <c r="D23" s="317"/>
      <c r="E23" s="317"/>
      <c r="F23" s="317"/>
      <c r="G23" s="6"/>
      <c r="H23" s="305" t="s">
        <v>162</v>
      </c>
      <c r="I23" s="306"/>
      <c r="J23" s="240"/>
    </row>
    <row r="24" spans="2:10" ht="24" customHeight="1">
      <c r="B24" s="318" t="s">
        <v>154</v>
      </c>
      <c r="C24" s="318"/>
      <c r="D24" s="318"/>
      <c r="E24" s="318"/>
      <c r="F24" s="318"/>
      <c r="H24" s="44" t="s">
        <v>153</v>
      </c>
      <c r="I24" s="45" t="s">
        <v>141</v>
      </c>
      <c r="J24" s="241" t="s">
        <v>25</v>
      </c>
    </row>
    <row r="25" spans="2:10" s="91" customFormat="1" ht="24" customHeight="1">
      <c r="B25" s="180"/>
      <c r="C25" s="180"/>
      <c r="D25" s="180"/>
      <c r="E25" s="180"/>
      <c r="F25" s="180"/>
      <c r="H25" s="177" t="s">
        <v>26</v>
      </c>
      <c r="I25" s="178">
        <v>5.5999999999999999E-5</v>
      </c>
      <c r="J25" s="311" t="s">
        <v>66</v>
      </c>
    </row>
    <row r="26" spans="2:10" ht="15.6" customHeight="1">
      <c r="B26" s="305" t="s">
        <v>207</v>
      </c>
      <c r="C26" s="309"/>
      <c r="D26" s="309"/>
      <c r="E26" s="309"/>
      <c r="F26" s="306"/>
      <c r="H26" s="92" t="s">
        <v>27</v>
      </c>
      <c r="I26" s="53">
        <v>5.4000000000000003E-3</v>
      </c>
      <c r="J26" s="311"/>
    </row>
    <row r="27" spans="2:10" s="91" customFormat="1" ht="31.5">
      <c r="B27" s="44" t="s">
        <v>159</v>
      </c>
      <c r="C27" s="45" t="s">
        <v>19</v>
      </c>
      <c r="D27" s="46" t="s">
        <v>74</v>
      </c>
      <c r="E27" s="46" t="s">
        <v>60</v>
      </c>
      <c r="F27" s="45" t="s">
        <v>61</v>
      </c>
      <c r="H27" s="54" t="s">
        <v>65</v>
      </c>
      <c r="I27" s="53">
        <v>1.6875000000000001E-4</v>
      </c>
      <c r="J27" s="311"/>
    </row>
    <row r="28" spans="2:10" s="91" customFormat="1" ht="18.600000000000001" customHeight="1">
      <c r="B28" s="310" t="s">
        <v>22</v>
      </c>
      <c r="C28" s="7" t="s">
        <v>51</v>
      </c>
      <c r="D28" s="52">
        <f>D6*1000*$I$28</f>
        <v>95</v>
      </c>
      <c r="E28" s="52">
        <f>$I$25*E6*1000</f>
        <v>279.99999999999994</v>
      </c>
      <c r="F28" s="51">
        <f>F6*1000*$I$27</f>
        <v>73.828125</v>
      </c>
      <c r="H28" s="55" t="s">
        <v>67</v>
      </c>
      <c r="I28" s="57">
        <v>1.9E-3</v>
      </c>
      <c r="J28" s="312"/>
    </row>
    <row r="29" spans="2:10" s="91" customFormat="1" ht="16.149999999999999" customHeight="1">
      <c r="B29" s="310"/>
      <c r="C29" s="7" t="s">
        <v>52</v>
      </c>
      <c r="D29" s="52">
        <f>D7*1000*$I$28</f>
        <v>263.56410256410254</v>
      </c>
      <c r="E29" s="52">
        <f>$I$25*E7*1000</f>
        <v>232.97435897435898</v>
      </c>
      <c r="F29" s="51">
        <f>F7*1000*$I$27</f>
        <v>3.4615384615384621</v>
      </c>
      <c r="H29" s="91" t="s">
        <v>73</v>
      </c>
      <c r="J29" s="179"/>
    </row>
    <row r="30" spans="2:10" s="91" customFormat="1">
      <c r="B30" s="92"/>
      <c r="C30" s="7"/>
      <c r="D30" s="52"/>
      <c r="E30" s="52"/>
      <c r="F30" s="51"/>
      <c r="H30" s="91" t="s">
        <v>75</v>
      </c>
      <c r="J30" s="179"/>
    </row>
    <row r="31" spans="2:10" s="91" customFormat="1">
      <c r="B31" s="92" t="s">
        <v>23</v>
      </c>
      <c r="C31" s="7" t="s">
        <v>52</v>
      </c>
      <c r="D31" s="52">
        <f>D10*1000*$I$28</f>
        <v>235.52083333333331</v>
      </c>
      <c r="E31" s="52">
        <f>$I$25*E10*1000</f>
        <v>461.41666666666669</v>
      </c>
      <c r="F31" s="51">
        <f>F10*1000*$I$27</f>
        <v>8.208984375</v>
      </c>
    </row>
    <row r="32" spans="2:10" s="91" customFormat="1">
      <c r="B32" s="92"/>
      <c r="C32" s="7"/>
      <c r="D32" s="52"/>
      <c r="E32" s="52"/>
      <c r="F32" s="51"/>
    </row>
    <row r="33" spans="2:10" s="91" customFormat="1">
      <c r="B33" s="310" t="s">
        <v>55</v>
      </c>
      <c r="C33" s="7" t="s">
        <v>54</v>
      </c>
      <c r="D33" s="52">
        <f>D13*1000*$I$28</f>
        <v>0.95</v>
      </c>
      <c r="E33" s="52">
        <f>$I$25*E13*1000</f>
        <v>66.304000000000002</v>
      </c>
      <c r="F33" s="51">
        <f>F13*1000*$I$27</f>
        <v>0.84375</v>
      </c>
    </row>
    <row r="34" spans="2:10" s="91" customFormat="1">
      <c r="B34" s="310"/>
      <c r="C34" s="7" t="s">
        <v>38</v>
      </c>
      <c r="D34" s="52">
        <f>D14*1000*$I$28</f>
        <v>4.0402298850574718</v>
      </c>
      <c r="E34" s="52">
        <f>$I$25*E14*1000</f>
        <v>203.40229885057474</v>
      </c>
      <c r="F34" s="51">
        <f>F14*1000*$I$27</f>
        <v>2.2209051724137931</v>
      </c>
    </row>
    <row r="35" spans="2:10" s="91" customFormat="1">
      <c r="B35" s="310"/>
      <c r="C35" s="7" t="s">
        <v>69</v>
      </c>
      <c r="D35" s="52">
        <f>D15*1000*$I$28</f>
        <v>0.18586956521739131</v>
      </c>
      <c r="E35" s="52">
        <f>$I$25*E15*1000</f>
        <v>48.695652173913039</v>
      </c>
      <c r="F35" s="51">
        <f>F15*1000*$I$27</f>
        <v>18.342391304347828</v>
      </c>
    </row>
    <row r="36" spans="2:10" s="91" customFormat="1">
      <c r="B36" s="92"/>
      <c r="C36" s="7"/>
      <c r="D36" s="52"/>
      <c r="E36" s="52"/>
      <c r="F36" s="51"/>
      <c r="H36" s="50"/>
      <c r="I36" s="50"/>
    </row>
    <row r="37" spans="2:10" s="91" customFormat="1">
      <c r="B37" s="310" t="s">
        <v>28</v>
      </c>
      <c r="C37" s="7" t="s">
        <v>64</v>
      </c>
      <c r="D37" s="52">
        <f>D17*1000*$I$28</f>
        <v>2.9747474747474749</v>
      </c>
      <c r="E37" s="52">
        <f>$I$25*E17*1000</f>
        <v>179.52525252525254</v>
      </c>
      <c r="F37" s="51">
        <f>F17*1000*$I$27</f>
        <v>1.5596590909090908</v>
      </c>
      <c r="H37" s="50"/>
      <c r="I37" s="50"/>
    </row>
    <row r="38" spans="2:10" s="91" customFormat="1">
      <c r="B38" s="310"/>
      <c r="C38" s="7" t="s">
        <v>57</v>
      </c>
      <c r="D38" s="52">
        <f>D18*1000*$I$28</f>
        <v>2.0474137931034484</v>
      </c>
      <c r="E38" s="52">
        <f>$I$25*E18*1000</f>
        <v>276.24655172413793</v>
      </c>
      <c r="F38" s="51">
        <f>F18*1000*$I$27</f>
        <v>1.8547952586206897</v>
      </c>
      <c r="H38" s="50"/>
      <c r="I38" s="50"/>
    </row>
    <row r="39" spans="2:10" s="91" customFormat="1">
      <c r="B39" s="310"/>
      <c r="C39" s="7" t="s">
        <v>58</v>
      </c>
      <c r="D39" s="52">
        <f>D19*1000*$I$28</f>
        <v>0</v>
      </c>
      <c r="E39" s="52">
        <f>$I$25*E19*1000</f>
        <v>203.1076923076923</v>
      </c>
      <c r="F39" s="51">
        <f>F19*1000*$I$27</f>
        <v>0.64903846153846145</v>
      </c>
      <c r="H39" s="50"/>
      <c r="I39" s="50"/>
    </row>
    <row r="40" spans="2:10" s="91" customFormat="1">
      <c r="B40" s="92"/>
      <c r="C40" s="7"/>
      <c r="D40" s="52">
        <f>D20*1000*$I$28</f>
        <v>0</v>
      </c>
      <c r="E40" s="52">
        <f>$I$25*E20*1000</f>
        <v>0</v>
      </c>
      <c r="F40" s="51"/>
      <c r="H40" s="50"/>
      <c r="I40" s="50"/>
      <c r="J40" s="50"/>
    </row>
    <row r="41" spans="2:10" s="91" customFormat="1">
      <c r="B41" s="58" t="s">
        <v>24</v>
      </c>
      <c r="C41" s="56" t="s">
        <v>59</v>
      </c>
      <c r="D41" s="61">
        <f>D21*1000*$I$28</f>
        <v>0.25333333333333335</v>
      </c>
      <c r="E41" s="61">
        <f>$I$25*E21*1000</f>
        <v>37.955555555555556</v>
      </c>
      <c r="F41" s="59">
        <f>F21*1000*$I$27</f>
        <v>3.4087500000000004</v>
      </c>
      <c r="I41" s="50"/>
      <c r="J41" s="50"/>
    </row>
    <row r="42" spans="2:10" s="91" customFormat="1">
      <c r="B42" s="7"/>
      <c r="C42" s="7"/>
      <c r="D42" s="52"/>
      <c r="E42" s="52"/>
      <c r="F42" s="52"/>
      <c r="H42" s="50"/>
      <c r="I42" s="50"/>
      <c r="J42" s="50"/>
    </row>
    <row r="43" spans="2:10">
      <c r="B43" s="7"/>
      <c r="C43" s="7"/>
      <c r="D43" s="52"/>
      <c r="E43" s="52"/>
      <c r="F43" s="52"/>
      <c r="I43" s="182"/>
      <c r="J43" s="181"/>
    </row>
    <row r="44" spans="2:10">
      <c r="B44" s="305" t="s">
        <v>163</v>
      </c>
      <c r="C44" s="306"/>
      <c r="D44" s="239" t="s">
        <v>25</v>
      </c>
      <c r="E44" s="62"/>
      <c r="F44" s="25"/>
      <c r="I44" s="183"/>
      <c r="J44" s="181"/>
    </row>
    <row r="45" spans="2:10">
      <c r="B45" s="92" t="s">
        <v>97</v>
      </c>
      <c r="C45" s="53">
        <v>4.45</v>
      </c>
      <c r="D45" s="307" t="s">
        <v>164</v>
      </c>
      <c r="E45" s="62"/>
      <c r="F45" s="63"/>
      <c r="I45" s="183"/>
      <c r="J45" s="181"/>
    </row>
    <row r="46" spans="2:10">
      <c r="B46" s="92" t="s">
        <v>98</v>
      </c>
      <c r="C46" s="53">
        <v>73</v>
      </c>
      <c r="D46" s="307"/>
      <c r="E46" s="62"/>
      <c r="F46" s="63"/>
      <c r="I46" s="183"/>
      <c r="J46" s="181"/>
    </row>
    <row r="47" spans="2:10" ht="31.5">
      <c r="B47" s="93" t="s">
        <v>155</v>
      </c>
      <c r="C47" s="176">
        <f>C46/C45</f>
        <v>16.40449438202247</v>
      </c>
      <c r="D47" s="308"/>
      <c r="E47" s="7"/>
      <c r="F47" s="63"/>
      <c r="I47" s="183"/>
      <c r="J47" s="181"/>
    </row>
    <row r="48" spans="2:10">
      <c r="B48" s="7"/>
      <c r="C48" s="7"/>
      <c r="D48" s="52"/>
      <c r="E48" s="7"/>
      <c r="F48" s="63"/>
      <c r="I48" s="183"/>
      <c r="J48" s="181"/>
    </row>
    <row r="49" spans="2:6" ht="16.5" thickBot="1">
      <c r="B49" s="7"/>
      <c r="C49" s="7"/>
      <c r="D49" s="52"/>
      <c r="E49" s="25"/>
      <c r="F49" s="25"/>
    </row>
    <row r="50" spans="2:6" ht="21">
      <c r="B50" s="302" t="s">
        <v>195</v>
      </c>
      <c r="C50" s="303"/>
      <c r="D50" s="303"/>
      <c r="E50" s="304"/>
      <c r="F50" s="52"/>
    </row>
    <row r="51" spans="2:6" ht="47.25">
      <c r="B51" s="186" t="s">
        <v>159</v>
      </c>
      <c r="C51" s="245" t="s">
        <v>206</v>
      </c>
      <c r="D51" s="173" t="s">
        <v>48</v>
      </c>
      <c r="E51" s="185" t="s">
        <v>165</v>
      </c>
      <c r="F51" s="52"/>
    </row>
    <row r="52" spans="2:6">
      <c r="B52" s="186" t="s">
        <v>4</v>
      </c>
      <c r="C52" s="188">
        <f>'A Quantités d''emballages'!J31*(D28+E28+F28)+'A Quantités d''emballages'!J32*(D29+E29+F29)</f>
        <v>460.94007794519553</v>
      </c>
      <c r="D52" s="157">
        <v>294</v>
      </c>
      <c r="E52" s="158">
        <f>C52*D52*10^-3</f>
        <v>135.51638291588748</v>
      </c>
    </row>
    <row r="53" spans="2:6">
      <c r="B53" s="186" t="s">
        <v>5</v>
      </c>
      <c r="C53" s="188">
        <f>(D31+E31+F31)</f>
        <v>705.146484375</v>
      </c>
      <c r="D53" s="157">
        <v>66</v>
      </c>
      <c r="E53" s="158">
        <f>C53*D53*10^-3</f>
        <v>46.539667968750003</v>
      </c>
    </row>
    <row r="54" spans="2:6">
      <c r="B54" s="186" t="s">
        <v>6</v>
      </c>
      <c r="C54" s="189">
        <f>'A Quantités d''emballages'!J38*(D33+E33+F33)+'A Quantités d''emballages'!J39* (D34+E34+F34)+'A Quantités d''emballages'!J40*(D35+E35+F35)</f>
        <v>78.603383363754389</v>
      </c>
      <c r="D54" s="157">
        <v>1022</v>
      </c>
      <c r="E54" s="158">
        <f>C54*D54*10^-3</f>
        <v>80.33265779775698</v>
      </c>
    </row>
    <row r="55" spans="2:6" ht="18.600000000000001" customHeight="1">
      <c r="B55" s="186" t="s">
        <v>7</v>
      </c>
      <c r="C55" s="188">
        <f>'A Quantités d''emballages'!J42*(D37+E37+F37)+'A Quantités d''emballages'!J43*(D38+E38+F38)+'A Quantités d''emballages'!J44*(D39+E39+F39)+C47</f>
        <v>241.32289165534169</v>
      </c>
      <c r="D55" s="157">
        <v>1089</v>
      </c>
      <c r="E55" s="158">
        <f>C55*D55*10^-3</f>
        <v>262.80062901266712</v>
      </c>
    </row>
    <row r="56" spans="2:6" ht="24.6" customHeight="1" thickBot="1">
      <c r="B56" s="187" t="s">
        <v>8</v>
      </c>
      <c r="C56" s="190">
        <f>D41+E41+F41</f>
        <v>41.617638888888884</v>
      </c>
      <c r="D56" s="159">
        <v>2289</v>
      </c>
      <c r="E56" s="160">
        <f>C56*D56*10^-3</f>
        <v>95.262775416666656</v>
      </c>
    </row>
    <row r="57" spans="2:6" ht="16.5" thickBot="1">
      <c r="C57" s="187" t="s">
        <v>47</v>
      </c>
      <c r="D57" s="159">
        <f>SUM(D52:D56)</f>
        <v>4760</v>
      </c>
      <c r="E57" s="160">
        <f>SUM(E52:E56)</f>
        <v>620.45211311172818</v>
      </c>
    </row>
    <row r="58" spans="2:6" ht="32.450000000000003" customHeight="1"/>
  </sheetData>
  <mergeCells count="17">
    <mergeCell ref="J25:J28"/>
    <mergeCell ref="B3:F3"/>
    <mergeCell ref="B22:F23"/>
    <mergeCell ref="B24:F24"/>
    <mergeCell ref="B17:B19"/>
    <mergeCell ref="B5:C5"/>
    <mergeCell ref="B6:B7"/>
    <mergeCell ref="B9:B11"/>
    <mergeCell ref="B13:B15"/>
    <mergeCell ref="B50:E50"/>
    <mergeCell ref="H23:I23"/>
    <mergeCell ref="B44:C44"/>
    <mergeCell ref="D45:D47"/>
    <mergeCell ref="B26:F26"/>
    <mergeCell ref="B28:B29"/>
    <mergeCell ref="B37:B39"/>
    <mergeCell ref="B33:B35"/>
  </mergeCells>
  <hyperlinks>
    <hyperlink ref="G6" r:id="rId1"/>
    <hyperlink ref="G15" r:id="rId2"/>
    <hyperlink ref="J25" r:id="rId3"/>
    <hyperlink ref="D45:D46" r:id="rId4" display="WWF "/>
    <hyperlink ref="G7" r:id="rId5"/>
    <hyperlink ref="G10" r:id="rId6"/>
    <hyperlink ref="G13" r:id="rId7"/>
    <hyperlink ref="G14" r:id="rId8"/>
    <hyperlink ref="G17" r:id="rId9"/>
    <hyperlink ref="G18" r:id="rId10"/>
    <hyperlink ref="G19" r:id="rId11"/>
    <hyperlink ref="G21" r:id="rId12"/>
  </hyperlinks>
  <pageMargins left="0.7" right="0.7" top="0.75" bottom="0.75" header="0.3" footer="0.3"/>
  <pageSetup paperSize="9" orientation="portrait" r:id="rId13"/>
  <drawing r:id="rId1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0"/>
  <sheetViews>
    <sheetView zoomScale="85" zoomScaleNormal="85" workbookViewId="0">
      <selection activeCell="B3" sqref="B3"/>
    </sheetView>
  </sheetViews>
  <sheetFormatPr baseColWidth="10" defaultColWidth="11.25" defaultRowHeight="15.75"/>
  <cols>
    <col min="1" max="1" width="11.25" style="10"/>
    <col min="2" max="2" width="25.75" style="10" customWidth="1"/>
    <col min="3" max="3" width="28.625" style="50" customWidth="1"/>
    <col min="4" max="4" width="28.125" style="10" customWidth="1"/>
    <col min="5" max="5" width="22.75" style="10" customWidth="1"/>
    <col min="6" max="6" width="25.5" style="10" customWidth="1"/>
    <col min="7" max="7" width="28.75" style="10" customWidth="1"/>
    <col min="8" max="8" width="39.25" style="10" customWidth="1"/>
    <col min="9" max="9" width="28.75" style="10" customWidth="1"/>
    <col min="10" max="10" width="28.25" style="10" customWidth="1"/>
    <col min="11" max="11" width="21.75" style="10" customWidth="1"/>
    <col min="12" max="12" width="20.875" style="10" customWidth="1"/>
    <col min="13" max="13" width="22.75" style="10" customWidth="1"/>
    <col min="14" max="14" width="15.25" style="10" customWidth="1"/>
    <col min="15" max="15" width="20.5" style="9" customWidth="1"/>
    <col min="16" max="16" width="20" style="9" customWidth="1"/>
    <col min="17" max="17" width="48.25" style="9" customWidth="1"/>
    <col min="18" max="19" width="11.25" style="9"/>
    <col min="20" max="20" width="18.25" style="9" customWidth="1"/>
    <col min="21" max="21" width="25.75" style="9" customWidth="1"/>
    <col min="22" max="22" width="52.75" style="9" customWidth="1"/>
    <col min="23" max="23" width="11.25" style="9"/>
    <col min="24" max="16384" width="11.25" style="10"/>
  </cols>
  <sheetData>
    <row r="1" spans="2:23" ht="16.149999999999999" customHeight="1" thickBot="1">
      <c r="G1" s="49"/>
      <c r="H1" s="11"/>
    </row>
    <row r="2" spans="2:23" ht="25.9" customHeight="1" thickBot="1">
      <c r="B2" s="319" t="s">
        <v>205</v>
      </c>
      <c r="C2" s="320"/>
      <c r="D2" s="320"/>
      <c r="E2" s="321"/>
      <c r="F2" s="2"/>
      <c r="G2" s="2"/>
      <c r="H2" s="9"/>
      <c r="N2" s="9"/>
      <c r="W2" s="10"/>
    </row>
    <row r="3" spans="2:23" s="1" customFormat="1" ht="20.45" customHeight="1">
      <c r="B3" s="196"/>
      <c r="C3" s="197" t="s">
        <v>196</v>
      </c>
      <c r="D3" s="197" t="s">
        <v>197</v>
      </c>
      <c r="E3" s="192" t="s">
        <v>160</v>
      </c>
      <c r="L3" s="2"/>
      <c r="M3" s="2"/>
      <c r="N3" s="2"/>
      <c r="O3" s="2"/>
      <c r="P3" s="2"/>
      <c r="Q3" s="2"/>
      <c r="R3" s="2"/>
      <c r="S3" s="2"/>
      <c r="T3" s="2"/>
    </row>
    <row r="4" spans="2:23">
      <c r="B4" s="186" t="s">
        <v>4</v>
      </c>
      <c r="C4" s="198">
        <f>'B Eco-contributions'!D29</f>
        <v>68.027210884353735</v>
      </c>
      <c r="D4" s="199">
        <f>'C Coût économique de gestion'!H55+'D Coût environnemental'!C52</f>
        <v>811.01387756754548</v>
      </c>
      <c r="E4" s="200">
        <f>C4/D4</f>
        <v>8.3879219290779738E-2</v>
      </c>
      <c r="L4" s="9"/>
      <c r="M4" s="9"/>
      <c r="N4" s="9"/>
      <c r="U4" s="10"/>
      <c r="V4" s="10"/>
      <c r="W4" s="10"/>
    </row>
    <row r="5" spans="2:23" ht="15.6" customHeight="1">
      <c r="B5" s="186" t="s">
        <v>5</v>
      </c>
      <c r="C5" s="198">
        <f>'B Eco-contributions'!D30</f>
        <v>318.18181818181819</v>
      </c>
      <c r="D5" s="199">
        <f>'C Coût économique de gestion'!H56+'D Coût environnemental'!C53</f>
        <v>882.31546613602973</v>
      </c>
      <c r="E5" s="200">
        <f>C5/D5</f>
        <v>0.36062137681349787</v>
      </c>
      <c r="L5" s="9"/>
      <c r="M5" s="9"/>
      <c r="N5" s="9"/>
      <c r="U5" s="10"/>
      <c r="V5" s="10"/>
      <c r="W5" s="10"/>
    </row>
    <row r="6" spans="2:23">
      <c r="B6" s="186" t="s">
        <v>6</v>
      </c>
      <c r="C6" s="198">
        <f>'B Eco-contributions'!D31</f>
        <v>201.5655577299413</v>
      </c>
      <c r="D6" s="199">
        <f>'C Coût économique de gestion'!H57+'D Coût environnemental'!C54</f>
        <v>289.26348599925433</v>
      </c>
      <c r="E6" s="200">
        <f>C6/D6</f>
        <v>0.69682337206729539</v>
      </c>
      <c r="L6" s="9"/>
      <c r="M6" s="9"/>
      <c r="N6" s="9"/>
      <c r="U6" s="10"/>
      <c r="V6" s="10"/>
      <c r="W6" s="10"/>
    </row>
    <row r="7" spans="2:23">
      <c r="B7" s="186" t="s">
        <v>7</v>
      </c>
      <c r="C7" s="198">
        <f>'B Eco-contributions'!D32</f>
        <v>347.10743801652893</v>
      </c>
      <c r="D7" s="199">
        <f>'C Coût économique de gestion'!H58+'D Coût environnemental'!C55</f>
        <v>548.4726671545659</v>
      </c>
      <c r="E7" s="200">
        <f>C7/D7</f>
        <v>0.63286187043247877</v>
      </c>
      <c r="L7" s="9"/>
      <c r="M7" s="9"/>
      <c r="N7" s="9"/>
      <c r="U7" s="10"/>
      <c r="V7" s="10"/>
      <c r="W7" s="10"/>
    </row>
    <row r="8" spans="2:23" ht="16.5" thickBot="1">
      <c r="B8" s="187" t="s">
        <v>8</v>
      </c>
      <c r="C8" s="201">
        <f>'B Eco-contributions'!D33</f>
        <v>15.290519877675841</v>
      </c>
      <c r="D8" s="199">
        <f>'C Coût économique de gestion'!H59+'D Coût environnemental'!C56</f>
        <v>129.65302552060578</v>
      </c>
      <c r="E8" s="203">
        <f>C8/D8</f>
        <v>0.11793415399508526</v>
      </c>
      <c r="L8" s="9"/>
      <c r="M8" s="9"/>
      <c r="N8" s="9"/>
      <c r="U8" s="10"/>
      <c r="V8" s="10"/>
      <c r="W8" s="10"/>
    </row>
    <row r="9" spans="2:23" ht="37.9" customHeight="1" thickBot="1">
      <c r="B9" s="7"/>
      <c r="C9" s="9"/>
      <c r="D9" s="336" t="s">
        <v>109</v>
      </c>
      <c r="E9" s="205">
        <f>C19/D19</f>
        <v>0.44403757642853686</v>
      </c>
      <c r="L9" s="9"/>
      <c r="M9" s="9"/>
      <c r="N9" s="9"/>
      <c r="U9" s="10"/>
      <c r="V9" s="10"/>
      <c r="W9" s="10"/>
    </row>
    <row r="10" spans="2:23" s="248" customFormat="1" ht="12.6" customHeight="1">
      <c r="B10" s="246"/>
      <c r="C10" s="247"/>
      <c r="D10" s="16"/>
      <c r="E10" s="206"/>
      <c r="L10" s="247"/>
      <c r="M10" s="247"/>
      <c r="N10" s="247"/>
      <c r="O10" s="247"/>
      <c r="P10" s="247"/>
      <c r="Q10" s="247"/>
      <c r="R10" s="247"/>
      <c r="S10" s="247"/>
      <c r="T10" s="247"/>
    </row>
    <row r="11" spans="2:23" ht="16.149999999999999" customHeight="1" thickBot="1">
      <c r="B11" s="7"/>
      <c r="C11" s="9"/>
      <c r="D11" s="16"/>
      <c r="E11" s="206"/>
      <c r="L11" s="9"/>
      <c r="M11" s="9"/>
      <c r="N11" s="9"/>
      <c r="U11" s="10"/>
      <c r="V11" s="10"/>
      <c r="W11" s="10"/>
    </row>
    <row r="12" spans="2:23" ht="17.45" customHeight="1" thickBot="1">
      <c r="B12" s="319" t="s">
        <v>166</v>
      </c>
      <c r="C12" s="320"/>
      <c r="D12" s="320"/>
      <c r="E12" s="321"/>
      <c r="F12" s="184"/>
      <c r="G12" s="90"/>
      <c r="H12" s="13"/>
      <c r="I12" s="8"/>
      <c r="M12" s="9"/>
      <c r="N12" s="9"/>
      <c r="V12" s="10"/>
      <c r="W12" s="10"/>
    </row>
    <row r="13" spans="2:23" ht="32.450000000000003" customHeight="1">
      <c r="B13" s="191"/>
      <c r="C13" s="153" t="s">
        <v>198</v>
      </c>
      <c r="D13" s="153" t="s">
        <v>199</v>
      </c>
      <c r="E13" s="192" t="s">
        <v>110</v>
      </c>
      <c r="F13" s="184"/>
      <c r="G13" s="90"/>
      <c r="H13" s="13"/>
      <c r="I13" s="8"/>
      <c r="M13" s="9"/>
      <c r="N13" s="9"/>
      <c r="V13" s="10"/>
      <c r="W13" s="10"/>
    </row>
    <row r="14" spans="2:23" ht="17.45" customHeight="1">
      <c r="B14" s="186" t="s">
        <v>4</v>
      </c>
      <c r="C14" s="156">
        <f>'B Eco-contributions'!C18</f>
        <v>20</v>
      </c>
      <c r="D14" s="156">
        <f>'C Coût économique de gestion'!J55+'D Coût environnemental'!E52</f>
        <v>238.43808000485836</v>
      </c>
      <c r="E14" s="193">
        <f t="shared" ref="E14:E19" si="0">D14-C14</f>
        <v>218.43808000485836</v>
      </c>
      <c r="F14" s="184"/>
      <c r="G14" s="90"/>
      <c r="H14" s="13"/>
      <c r="I14" s="8"/>
      <c r="M14" s="9"/>
      <c r="N14" s="9"/>
      <c r="V14" s="10"/>
      <c r="W14" s="10"/>
    </row>
    <row r="15" spans="2:23" ht="17.45" customHeight="1">
      <c r="B15" s="186" t="s">
        <v>5</v>
      </c>
      <c r="C15" s="156">
        <f>'B Eco-contributions'!C19</f>
        <v>21</v>
      </c>
      <c r="D15" s="156">
        <f>'C Coût économique de gestion'!J56+'D Coût environnemental'!E53</f>
        <v>58.232820764977966</v>
      </c>
      <c r="E15" s="193">
        <f t="shared" si="0"/>
        <v>37.232820764977966</v>
      </c>
      <c r="F15" s="184"/>
      <c r="G15" s="90"/>
      <c r="H15" s="13"/>
      <c r="I15" s="8"/>
      <c r="M15" s="9"/>
      <c r="N15" s="9"/>
      <c r="V15" s="10"/>
      <c r="W15" s="10"/>
    </row>
    <row r="16" spans="2:23" ht="17.45" customHeight="1">
      <c r="B16" s="186" t="s">
        <v>6</v>
      </c>
      <c r="C16" s="156">
        <f>'B Eco-contributions'!C20</f>
        <v>206</v>
      </c>
      <c r="D16" s="156">
        <f>'C Coût économique de gestion'!J57+'D Coût environnemental'!E54</f>
        <v>295.62728269123789</v>
      </c>
      <c r="E16" s="193">
        <f t="shared" si="0"/>
        <v>89.627282691237895</v>
      </c>
      <c r="F16" s="184"/>
      <c r="G16" s="90"/>
      <c r="H16" s="13"/>
      <c r="I16" s="8"/>
      <c r="M16" s="9"/>
      <c r="N16" s="9"/>
      <c r="V16" s="10"/>
      <c r="W16" s="10"/>
    </row>
    <row r="17" spans="2:23" ht="17.45" customHeight="1">
      <c r="B17" s="186" t="s">
        <v>7</v>
      </c>
      <c r="C17" s="156">
        <f>'B Eco-contributions'!C21</f>
        <v>378</v>
      </c>
      <c r="D17" s="156">
        <f>'C Coût économique de gestion'!J58+'D Coût environnemental'!E55</f>
        <v>597.28673453132228</v>
      </c>
      <c r="E17" s="193">
        <f t="shared" si="0"/>
        <v>219.28673453132228</v>
      </c>
      <c r="F17" s="184"/>
      <c r="G17" s="90"/>
      <c r="H17" s="13"/>
      <c r="I17" s="8"/>
      <c r="M17" s="9"/>
      <c r="N17" s="9"/>
      <c r="V17" s="10"/>
      <c r="W17" s="10"/>
    </row>
    <row r="18" spans="2:23" ht="17.45" customHeight="1" thickBot="1">
      <c r="B18" s="186" t="s">
        <v>8</v>
      </c>
      <c r="C18" s="156">
        <f>'B Eco-contributions'!C22</f>
        <v>35</v>
      </c>
      <c r="D18" s="156">
        <f>'C Coût économique de gestion'!J59+'D Coût environnemental'!E56</f>
        <v>296.77577541666665</v>
      </c>
      <c r="E18" s="193">
        <f t="shared" si="0"/>
        <v>261.77577541666665</v>
      </c>
      <c r="F18" s="184"/>
      <c r="G18" s="90"/>
      <c r="H18" s="13"/>
      <c r="I18" s="8"/>
      <c r="M18" s="9"/>
      <c r="N18" s="9"/>
      <c r="V18" s="10"/>
      <c r="W18" s="10"/>
    </row>
    <row r="19" spans="2:23" ht="17.45" customHeight="1" thickBot="1">
      <c r="B19" s="194" t="s">
        <v>47</v>
      </c>
      <c r="C19" s="163">
        <f>SUM(C14:C18)</f>
        <v>660</v>
      </c>
      <c r="D19" s="162">
        <f>SUM(D14:D18)</f>
        <v>1486.3606934090633</v>
      </c>
      <c r="E19" s="195">
        <f t="shared" si="0"/>
        <v>826.36069340906329</v>
      </c>
      <c r="F19" s="184"/>
      <c r="G19" s="90"/>
      <c r="H19" s="13"/>
      <c r="I19" s="8"/>
      <c r="M19" s="9"/>
      <c r="N19" s="9"/>
      <c r="V19" s="10"/>
      <c r="W19" s="10"/>
    </row>
    <row r="20" spans="2:23" s="248" customFormat="1" ht="17.45" customHeight="1">
      <c r="B20" s="207"/>
      <c r="C20" s="208"/>
      <c r="D20" s="209"/>
      <c r="E20" s="210"/>
      <c r="F20" s="206"/>
      <c r="G20" s="208"/>
      <c r="H20" s="209"/>
      <c r="I20" s="210"/>
      <c r="M20" s="247"/>
      <c r="N20" s="247"/>
      <c r="O20" s="247"/>
      <c r="P20" s="247"/>
      <c r="Q20" s="247"/>
      <c r="R20" s="247"/>
      <c r="S20" s="247"/>
      <c r="T20" s="247"/>
      <c r="U20" s="247"/>
    </row>
    <row r="21" spans="2:23" ht="17.45" customHeight="1" thickBot="1">
      <c r="B21" s="207"/>
      <c r="C21" s="208"/>
      <c r="D21" s="209"/>
      <c r="E21" s="210"/>
      <c r="F21" s="184"/>
      <c r="G21" s="90"/>
      <c r="H21" s="13"/>
      <c r="I21" s="8"/>
      <c r="M21" s="9"/>
      <c r="N21" s="9"/>
      <c r="V21" s="10"/>
      <c r="W21" s="10"/>
    </row>
    <row r="22" spans="2:23" ht="17.45" customHeight="1" thickBot="1">
      <c r="B22" s="319" t="s">
        <v>204</v>
      </c>
      <c r="C22" s="320"/>
      <c r="D22" s="320"/>
      <c r="E22" s="321"/>
      <c r="F22" s="184"/>
      <c r="G22" s="90"/>
      <c r="H22" s="13"/>
      <c r="I22" s="8"/>
      <c r="M22" s="9"/>
      <c r="N22" s="9"/>
      <c r="V22" s="10"/>
      <c r="W22" s="10"/>
    </row>
    <row r="23" spans="2:23" ht="33.6" customHeight="1">
      <c r="B23" s="196"/>
      <c r="C23" s="197" t="s">
        <v>196</v>
      </c>
      <c r="D23" s="153" t="s">
        <v>200</v>
      </c>
      <c r="E23" s="192" t="s">
        <v>186</v>
      </c>
      <c r="F23" s="184"/>
      <c r="G23" s="90"/>
      <c r="H23" s="13"/>
      <c r="I23" s="8"/>
      <c r="M23" s="9"/>
      <c r="N23" s="9"/>
      <c r="V23" s="10"/>
      <c r="W23" s="10"/>
    </row>
    <row r="24" spans="2:23" ht="17.45" customHeight="1">
      <c r="B24" s="186" t="s">
        <v>4</v>
      </c>
      <c r="C24" s="198">
        <f>'B Eco-contributions'!D29</f>
        <v>68.027210884353735</v>
      </c>
      <c r="D24" s="199">
        <f>'C Coût économique de gestion'!D55</f>
        <v>356.9970989420778</v>
      </c>
      <c r="E24" s="200">
        <f>C24/D24</f>
        <v>0.19055395992276969</v>
      </c>
      <c r="F24" s="184"/>
      <c r="G24" s="90"/>
      <c r="H24" s="13"/>
      <c r="I24" s="8"/>
      <c r="M24" s="9"/>
      <c r="N24" s="9"/>
      <c r="V24" s="10"/>
      <c r="W24" s="10"/>
    </row>
    <row r="25" spans="2:23" ht="17.45" customHeight="1">
      <c r="B25" s="186" t="s">
        <v>5</v>
      </c>
      <c r="C25" s="198">
        <f>'B Eco-contributions'!D30</f>
        <v>318.18181818181819</v>
      </c>
      <c r="D25" s="199">
        <f>'C Coût économique de gestion'!D56</f>
        <v>184.86261812466608</v>
      </c>
      <c r="E25" s="200">
        <f>C25/D25</f>
        <v>1.7211798762216244</v>
      </c>
      <c r="F25" s="184"/>
      <c r="G25" s="90"/>
      <c r="H25" s="13"/>
      <c r="I25" s="8"/>
      <c r="M25" s="9"/>
      <c r="N25" s="9"/>
      <c r="V25" s="10"/>
      <c r="W25" s="10"/>
    </row>
    <row r="26" spans="2:23" ht="17.45" customHeight="1">
      <c r="B26" s="186" t="s">
        <v>6</v>
      </c>
      <c r="C26" s="198">
        <f>'B Eco-contributions'!D31</f>
        <v>201.5655577299413</v>
      </c>
      <c r="D26" s="199">
        <f>'C Coût économique de gestion'!D57</f>
        <v>216.05916330086197</v>
      </c>
      <c r="E26" s="200">
        <f>C26/D26</f>
        <v>0.93291834815291608</v>
      </c>
      <c r="F26" s="184"/>
      <c r="G26" s="90"/>
      <c r="H26" s="13"/>
      <c r="I26" s="8"/>
      <c r="M26" s="9"/>
      <c r="N26" s="9"/>
      <c r="V26" s="10"/>
      <c r="W26" s="10"/>
    </row>
    <row r="27" spans="2:23" ht="17.45" customHeight="1">
      <c r="B27" s="186" t="s">
        <v>7</v>
      </c>
      <c r="C27" s="198">
        <f>'B Eco-contributions'!D32</f>
        <v>347.10743801652893</v>
      </c>
      <c r="D27" s="199">
        <f>'C Coût économique de gestion'!D58</f>
        <v>314.85108863053733</v>
      </c>
      <c r="E27" s="200">
        <f>C27/D27</f>
        <v>1.1024495405948647</v>
      </c>
      <c r="F27" s="184"/>
      <c r="G27" s="90"/>
      <c r="H27" s="13"/>
      <c r="I27" s="8"/>
      <c r="M27" s="9"/>
      <c r="N27" s="9"/>
      <c r="V27" s="10"/>
      <c r="W27" s="10"/>
    </row>
    <row r="28" spans="2:23" ht="17.45" customHeight="1" thickBot="1">
      <c r="B28" s="187" t="s">
        <v>8</v>
      </c>
      <c r="C28" s="201">
        <f>'B Eco-contributions'!D33</f>
        <v>15.290519877675841</v>
      </c>
      <c r="D28" s="202">
        <f>'C Coût économique de gestion'!D59</f>
        <v>90.545653123634764</v>
      </c>
      <c r="E28" s="203">
        <f>C28/D28</f>
        <v>0.16887083311219298</v>
      </c>
      <c r="F28" s="184"/>
      <c r="G28" s="90"/>
      <c r="H28" s="13"/>
      <c r="I28" s="8"/>
      <c r="M28" s="9"/>
      <c r="N28" s="9"/>
      <c r="V28" s="10"/>
      <c r="W28" s="10"/>
    </row>
    <row r="29" spans="2:23" ht="40.15" customHeight="1" thickBot="1">
      <c r="B29" s="7"/>
      <c r="C29" s="9"/>
      <c r="D29" s="204" t="s">
        <v>109</v>
      </c>
      <c r="E29" s="205">
        <f>'E. Niveau Internalisation'!C19/'C Coût économique de gestion'!D61</f>
        <v>0.74315756228356611</v>
      </c>
      <c r="F29" s="184"/>
      <c r="G29" s="90"/>
      <c r="H29" s="13"/>
      <c r="I29" s="8"/>
      <c r="M29" s="9"/>
      <c r="N29" s="9"/>
      <c r="V29" s="10"/>
      <c r="W29" s="10"/>
    </row>
    <row r="30" spans="2:23" ht="17.45" customHeight="1">
      <c r="B30" s="207"/>
      <c r="C30" s="208"/>
      <c r="D30" s="209"/>
      <c r="E30" s="210"/>
      <c r="F30" s="184"/>
      <c r="G30" s="90"/>
      <c r="H30" s="13"/>
      <c r="I30" s="8"/>
      <c r="M30" s="9"/>
      <c r="N30" s="9"/>
      <c r="V30" s="10"/>
      <c r="W30" s="10"/>
    </row>
  </sheetData>
  <mergeCells count="3">
    <mergeCell ref="B2:E2"/>
    <mergeCell ref="B12:E12"/>
    <mergeCell ref="B22:E2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Introduction</vt:lpstr>
      <vt:lpstr>A Quantités d'emballages</vt:lpstr>
      <vt:lpstr>B Eco-contributions</vt:lpstr>
      <vt:lpstr>C Coût économique de gestion</vt:lpstr>
      <vt:lpstr>D Coût environnemental</vt:lpstr>
      <vt:lpstr>E. Niveau Internalisation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Microsoft Office</dc:creator>
  <cp:lastModifiedBy>Matthieu Glachant</cp:lastModifiedBy>
  <dcterms:created xsi:type="dcterms:W3CDTF">2018-08-07T09:57:45Z</dcterms:created>
  <dcterms:modified xsi:type="dcterms:W3CDTF">2020-01-27T17:59:30Z</dcterms:modified>
</cp:coreProperties>
</file>